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mc:AlternateContent xmlns:mc="http://schemas.openxmlformats.org/markup-compatibility/2006">
    <mc:Choice Requires="x15">
      <x15ac:absPath xmlns:x15ac="http://schemas.microsoft.com/office/spreadsheetml/2010/11/ac" url="C:\Users\emsmi\Downloads\"/>
    </mc:Choice>
  </mc:AlternateContent>
  <xr:revisionPtr revIDLastSave="0" documentId="13_ncr:1_{AB2375BF-63E1-4DF3-A3AD-16246EE7CC6E}" xr6:coauthVersionLast="47" xr6:coauthVersionMax="47" xr10:uidLastSave="{00000000-0000-0000-0000-000000000000}"/>
  <bookViews>
    <workbookView xWindow="-108" yWindow="-108" windowWidth="23256" windowHeight="12456" firstSheet="3" activeTab="6" xr2:uid="{00000000-000D-0000-FFFF-FFFF00000000}"/>
  </bookViews>
  <sheets>
    <sheet name="Milestone Balance Sheet" sheetId="15" r:id="rId1"/>
    <sheet name="Milestone Income Statement" sheetId="31" r:id="rId2"/>
    <sheet name="Milestone Ratios" sheetId="36" r:id="rId3"/>
    <sheet name="Corrected Balance Sheet" sheetId="41" r:id="rId4"/>
    <sheet name="Corrected Income Statement" sheetId="42" r:id="rId5"/>
    <sheet name="Corrected Ratios" sheetId="43" r:id="rId6"/>
    <sheet name="Prospective Analysis" sheetId="37" r:id="rId7"/>
    <sheet name="Discount Rate" sheetId="38" r:id="rId8"/>
    <sheet name="DCF" sheetId="39" r:id="rId9"/>
    <sheet name="Valuation Summary" sheetId="40" r:id="rId10"/>
  </sheets>
  <definedNames>
    <definedName name="FIFO">#REF!</definedName>
    <definedName name="LIFO">#REF!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31" l="1"/>
  <c r="C24" i="31"/>
  <c r="B20" i="31"/>
  <c r="B33" i="15"/>
  <c r="D20" i="31"/>
  <c r="D16" i="36"/>
  <c r="C16" i="36"/>
  <c r="B16" i="36"/>
  <c r="A1" i="43"/>
  <c r="A3" i="43"/>
  <c r="A4" i="42"/>
  <c r="A3" i="36"/>
  <c r="A4" i="31"/>
  <c r="A3" i="31"/>
  <c r="L6" i="15"/>
  <c r="B3" i="38"/>
  <c r="A1" i="38"/>
  <c r="A19" i="39"/>
  <c r="A16" i="39"/>
  <c r="A3" i="39"/>
  <c r="A1" i="40"/>
  <c r="A1" i="39"/>
  <c r="A3" i="42"/>
  <c r="A1" i="42"/>
  <c r="A1" i="36"/>
  <c r="C11" i="43"/>
  <c r="D11" i="43"/>
  <c r="E11" i="43"/>
  <c r="F11" i="43"/>
  <c r="C12" i="43"/>
  <c r="D12" i="43"/>
  <c r="E12" i="43"/>
  <c r="F12" i="43"/>
  <c r="C14" i="43"/>
  <c r="D14" i="43"/>
  <c r="E14" i="43"/>
  <c r="F14" i="43"/>
  <c r="C16" i="43"/>
  <c r="D16" i="43"/>
  <c r="E16" i="43"/>
  <c r="F16" i="43"/>
  <c r="C17" i="43"/>
  <c r="D17" i="43"/>
  <c r="E17" i="43"/>
  <c r="F17" i="43"/>
  <c r="C18" i="43"/>
  <c r="D18" i="43"/>
  <c r="E18" i="43"/>
  <c r="F18" i="43"/>
  <c r="C19" i="43"/>
  <c r="D19" i="43"/>
  <c r="E19" i="43"/>
  <c r="F19" i="43"/>
  <c r="B18" i="43"/>
  <c r="B16" i="43"/>
  <c r="B14" i="43"/>
  <c r="B11" i="43"/>
  <c r="F4" i="43"/>
  <c r="F6" i="42"/>
  <c r="B19" i="43"/>
  <c r="B17" i="43"/>
  <c r="B12" i="43"/>
  <c r="F24" i="42"/>
  <c r="E24" i="42"/>
  <c r="D24" i="42"/>
  <c r="C24" i="42"/>
  <c r="L18" i="42"/>
  <c r="K18" i="42"/>
  <c r="J18" i="42"/>
  <c r="I18" i="42"/>
  <c r="H18" i="42"/>
  <c r="L17" i="42"/>
  <c r="K17" i="42"/>
  <c r="J17" i="42"/>
  <c r="I17" i="42"/>
  <c r="H17" i="42"/>
  <c r="L12" i="42"/>
  <c r="K12" i="42"/>
  <c r="J12" i="42"/>
  <c r="I12" i="42"/>
  <c r="H12" i="42"/>
  <c r="F10" i="42"/>
  <c r="E10" i="42"/>
  <c r="D10" i="42"/>
  <c r="C10" i="42"/>
  <c r="B10" i="42"/>
  <c r="L8" i="42"/>
  <c r="K8" i="42"/>
  <c r="J8" i="42"/>
  <c r="I8" i="42"/>
  <c r="H8" i="42"/>
  <c r="L7" i="42"/>
  <c r="K7" i="42"/>
  <c r="J7" i="42"/>
  <c r="I7" i="42"/>
  <c r="H7" i="42"/>
  <c r="F42" i="41"/>
  <c r="E42" i="41"/>
  <c r="D42" i="41"/>
  <c r="C42" i="41"/>
  <c r="B42" i="41"/>
  <c r="F33" i="41"/>
  <c r="E33" i="41"/>
  <c r="D33" i="41"/>
  <c r="C33" i="41"/>
  <c r="B33" i="41"/>
  <c r="F28" i="41"/>
  <c r="E28" i="41"/>
  <c r="D28" i="41"/>
  <c r="C28" i="41"/>
  <c r="B28" i="41"/>
  <c r="F19" i="41"/>
  <c r="E19" i="41"/>
  <c r="D19" i="41"/>
  <c r="C19" i="41"/>
  <c r="B19" i="41"/>
  <c r="F13" i="41"/>
  <c r="E13" i="41"/>
  <c r="D13" i="41"/>
  <c r="C13" i="41"/>
  <c r="B13" i="41"/>
  <c r="L6" i="41"/>
  <c r="L6" i="42" s="1"/>
  <c r="E6" i="41"/>
  <c r="D6" i="41"/>
  <c r="C6" i="41"/>
  <c r="B6" i="41"/>
  <c r="F22" i="43" l="1"/>
  <c r="E22" i="43"/>
  <c r="D22" i="43"/>
  <c r="C22" i="43"/>
  <c r="B22" i="43"/>
  <c r="F35" i="41"/>
  <c r="F45" i="41" s="1"/>
  <c r="F7" i="43"/>
  <c r="E35" i="41"/>
  <c r="E45" i="41" s="1"/>
  <c r="E7" i="43"/>
  <c r="D35" i="41"/>
  <c r="D45" i="41" s="1"/>
  <c r="D7" i="43"/>
  <c r="C35" i="41"/>
  <c r="C45" i="41" s="1"/>
  <c r="C7" i="43"/>
  <c r="B35" i="41"/>
  <c r="B45" i="41" s="1"/>
  <c r="B7" i="43"/>
  <c r="F21" i="41"/>
  <c r="F8" i="43"/>
  <c r="F13" i="43" s="1"/>
  <c r="F6" i="43"/>
  <c r="E21" i="41"/>
  <c r="E8" i="43"/>
  <c r="E13" i="43" s="1"/>
  <c r="E6" i="43"/>
  <c r="D21" i="41"/>
  <c r="D8" i="43"/>
  <c r="D13" i="43" s="1"/>
  <c r="D6" i="43"/>
  <c r="C21" i="41"/>
  <c r="C8" i="43"/>
  <c r="C13" i="43" s="1"/>
  <c r="C6" i="43"/>
  <c r="B21" i="41"/>
  <c r="B8" i="43"/>
  <c r="B13" i="43" s="1"/>
  <c r="B6" i="43"/>
  <c r="H6" i="41"/>
  <c r="H6" i="42" s="1"/>
  <c r="B4" i="43"/>
  <c r="B6" i="42"/>
  <c r="I6" i="41"/>
  <c r="I6" i="42" s="1"/>
  <c r="C4" i="43"/>
  <c r="C6" i="42"/>
  <c r="J6" i="41"/>
  <c r="J6" i="42" s="1"/>
  <c r="D4" i="43"/>
  <c r="D6" i="42"/>
  <c r="K6" i="41"/>
  <c r="K6" i="42" s="1"/>
  <c r="E4" i="43"/>
  <c r="E6" i="42"/>
  <c r="B14" i="42"/>
  <c r="H10" i="42"/>
  <c r="C14" i="42"/>
  <c r="I10" i="42"/>
  <c r="D14" i="42"/>
  <c r="J10" i="42"/>
  <c r="E14" i="42"/>
  <c r="K10" i="42"/>
  <c r="F14" i="42"/>
  <c r="L10" i="42"/>
  <c r="B47" i="41"/>
  <c r="H41" i="41"/>
  <c r="H40" i="41"/>
  <c r="H39" i="41"/>
  <c r="H38" i="41"/>
  <c r="H42" i="41" s="1"/>
  <c r="H32" i="41"/>
  <c r="H31" i="41"/>
  <c r="H33" i="41" s="1"/>
  <c r="H27" i="41"/>
  <c r="H26" i="41"/>
  <c r="H25" i="41"/>
  <c r="H28" i="41" s="1"/>
  <c r="H35" i="41" s="1"/>
  <c r="H45" i="41" s="1"/>
  <c r="H18" i="41"/>
  <c r="H17" i="41"/>
  <c r="H16" i="41"/>
  <c r="H19" i="41" s="1"/>
  <c r="C47" i="41"/>
  <c r="I41" i="41"/>
  <c r="I40" i="41"/>
  <c r="I39" i="41"/>
  <c r="I38" i="41"/>
  <c r="I42" i="41" s="1"/>
  <c r="I32" i="41"/>
  <c r="I31" i="41"/>
  <c r="I33" i="41" s="1"/>
  <c r="I27" i="41"/>
  <c r="I26" i="41"/>
  <c r="I25" i="41"/>
  <c r="I28" i="41" s="1"/>
  <c r="I35" i="41" s="1"/>
  <c r="I45" i="41" s="1"/>
  <c r="I18" i="41"/>
  <c r="I17" i="41"/>
  <c r="I16" i="41"/>
  <c r="I19" i="41" s="1"/>
  <c r="D47" i="41"/>
  <c r="J41" i="41"/>
  <c r="J40" i="41"/>
  <c r="J39" i="41"/>
  <c r="J38" i="41"/>
  <c r="J42" i="41" s="1"/>
  <c r="J32" i="41"/>
  <c r="J31" i="41"/>
  <c r="J33" i="41" s="1"/>
  <c r="J27" i="41"/>
  <c r="J26" i="41"/>
  <c r="J25" i="41"/>
  <c r="J28" i="41" s="1"/>
  <c r="J35" i="41" s="1"/>
  <c r="J45" i="41" s="1"/>
  <c r="J18" i="41"/>
  <c r="J17" i="41"/>
  <c r="J16" i="41"/>
  <c r="J19" i="41" s="1"/>
  <c r="E47" i="41"/>
  <c r="K41" i="41"/>
  <c r="K40" i="41"/>
  <c r="K39" i="41"/>
  <c r="K38" i="41"/>
  <c r="K42" i="41" s="1"/>
  <c r="K32" i="41"/>
  <c r="K31" i="41"/>
  <c r="K33" i="41" s="1"/>
  <c r="K27" i="41"/>
  <c r="K26" i="41"/>
  <c r="K25" i="41"/>
  <c r="K28" i="41" s="1"/>
  <c r="K35" i="41" s="1"/>
  <c r="K45" i="41" s="1"/>
  <c r="K18" i="41"/>
  <c r="K17" i="41"/>
  <c r="K16" i="41"/>
  <c r="K19" i="41" s="1"/>
  <c r="F47" i="41"/>
  <c r="L41" i="41"/>
  <c r="L40" i="41"/>
  <c r="L39" i="41"/>
  <c r="L38" i="41"/>
  <c r="L42" i="41" s="1"/>
  <c r="L32" i="41"/>
  <c r="L31" i="41"/>
  <c r="L33" i="41" s="1"/>
  <c r="L27" i="41"/>
  <c r="L26" i="41"/>
  <c r="L25" i="41"/>
  <c r="L28" i="41" s="1"/>
  <c r="L35" i="41" s="1"/>
  <c r="L45" i="41" s="1"/>
  <c r="L18" i="41"/>
  <c r="L17" i="41"/>
  <c r="L16" i="41"/>
  <c r="L19" i="41" s="1"/>
  <c r="F15" i="43" l="1"/>
  <c r="L12" i="41"/>
  <c r="L11" i="41"/>
  <c r="L10" i="41"/>
  <c r="L9" i="41"/>
  <c r="L13" i="41" s="1"/>
  <c r="L21" i="41" s="1"/>
  <c r="E15" i="43"/>
  <c r="K12" i="41"/>
  <c r="K11" i="41"/>
  <c r="K10" i="41"/>
  <c r="K9" i="41"/>
  <c r="K13" i="41" s="1"/>
  <c r="K21" i="41" s="1"/>
  <c r="D15" i="43"/>
  <c r="J12" i="41"/>
  <c r="J11" i="41"/>
  <c r="J10" i="41"/>
  <c r="J9" i="41"/>
  <c r="J13" i="41" s="1"/>
  <c r="J21" i="41" s="1"/>
  <c r="C15" i="43"/>
  <c r="I12" i="41"/>
  <c r="I11" i="41"/>
  <c r="I10" i="41"/>
  <c r="I9" i="41"/>
  <c r="I13" i="41" s="1"/>
  <c r="I21" i="41" s="1"/>
  <c r="B15" i="43"/>
  <c r="H12" i="41"/>
  <c r="H11" i="41"/>
  <c r="H10" i="41"/>
  <c r="H9" i="41"/>
  <c r="H13" i="41" s="1"/>
  <c r="H21" i="41" s="1"/>
  <c r="F20" i="42"/>
  <c r="L14" i="42"/>
  <c r="E20" i="42"/>
  <c r="K14" i="42"/>
  <c r="D20" i="42"/>
  <c r="J14" i="42"/>
  <c r="C20" i="42"/>
  <c r="I14" i="42"/>
  <c r="B20" i="42"/>
  <c r="H14" i="42"/>
  <c r="B5" i="39"/>
  <c r="C5" i="39" s="1"/>
  <c r="D5" i="39" s="1"/>
  <c r="B9" i="38"/>
  <c r="B11" i="38" s="1"/>
  <c r="B6" i="37"/>
  <c r="C6" i="37" s="1"/>
  <c r="D6" i="37" s="1"/>
  <c r="E6" i="37" s="1"/>
  <c r="L20" i="42" l="1"/>
  <c r="F27" i="43"/>
  <c r="F25" i="43"/>
  <c r="F26" i="43"/>
  <c r="K20" i="42"/>
  <c r="E27" i="43"/>
  <c r="E25" i="43"/>
  <c r="E26" i="43"/>
  <c r="J20" i="42"/>
  <c r="D27" i="43"/>
  <c r="D25" i="43"/>
  <c r="D26" i="43"/>
  <c r="I20" i="42"/>
  <c r="C27" i="43"/>
  <c r="C25" i="43"/>
  <c r="C26" i="43"/>
  <c r="H20" i="42"/>
  <c r="B27" i="43"/>
  <c r="B25" i="43"/>
  <c r="B26" i="43"/>
  <c r="F5" i="39"/>
  <c r="E5" i="39"/>
  <c r="B20" i="37"/>
  <c r="B6" i="39" s="1"/>
  <c r="F6" i="31"/>
  <c r="B13" i="39" l="1"/>
  <c r="B15" i="39" s="1"/>
  <c r="H12" i="31"/>
  <c r="I12" i="31"/>
  <c r="J12" i="31"/>
  <c r="D24" i="31"/>
  <c r="E24" i="31"/>
  <c r="F24" i="31"/>
  <c r="E6" i="15"/>
  <c r="B11" i="36"/>
  <c r="B12" i="36" s="1"/>
  <c r="C11" i="36"/>
  <c r="C12" i="36" s="1"/>
  <c r="B14" i="36"/>
  <c r="C14" i="36"/>
  <c r="B17" i="36"/>
  <c r="C17" i="36"/>
  <c r="B18" i="36"/>
  <c r="B19" i="36" s="1"/>
  <c r="C18" i="36"/>
  <c r="C19" i="36" s="1"/>
  <c r="B10" i="31"/>
  <c r="B14" i="31" s="1"/>
  <c r="C10" i="31"/>
  <c r="I10" i="31" s="1"/>
  <c r="H7" i="31"/>
  <c r="I7" i="31"/>
  <c r="H8" i="31"/>
  <c r="I8" i="31"/>
  <c r="H17" i="31"/>
  <c r="I17" i="31"/>
  <c r="H18" i="31"/>
  <c r="I18" i="31"/>
  <c r="B19" i="15"/>
  <c r="C19" i="15"/>
  <c r="B28" i="15"/>
  <c r="B7" i="36" s="1"/>
  <c r="C28" i="15"/>
  <c r="C7" i="36" s="1"/>
  <c r="C33" i="15"/>
  <c r="B42" i="15"/>
  <c r="B22" i="36" s="1"/>
  <c r="C42" i="15"/>
  <c r="C22" i="36" s="1"/>
  <c r="B13" i="15"/>
  <c r="C13" i="15"/>
  <c r="C20" i="37" l="1"/>
  <c r="C6" i="39" s="1"/>
  <c r="D6" i="15"/>
  <c r="L6" i="31"/>
  <c r="H10" i="31"/>
  <c r="E6" i="31"/>
  <c r="D6" i="31"/>
  <c r="K6" i="15"/>
  <c r="J6" i="15"/>
  <c r="C14" i="31"/>
  <c r="C21" i="15"/>
  <c r="H20" i="31"/>
  <c r="H14" i="31"/>
  <c r="C35" i="15"/>
  <c r="C45" i="15" s="1"/>
  <c r="C6" i="36"/>
  <c r="C8" i="36"/>
  <c r="C13" i="36" s="1"/>
  <c r="B35" i="15"/>
  <c r="B45" i="15" s="1"/>
  <c r="B21" i="15"/>
  <c r="B8" i="36"/>
  <c r="B13" i="36" s="1"/>
  <c r="B6" i="36"/>
  <c r="D4" i="36"/>
  <c r="E4" i="36"/>
  <c r="F4" i="36"/>
  <c r="E18" i="36"/>
  <c r="E19" i="36" s="1"/>
  <c r="F18" i="36"/>
  <c r="F19" i="36" s="1"/>
  <c r="D18" i="36"/>
  <c r="D19" i="36" s="1"/>
  <c r="D17" i="36"/>
  <c r="E11" i="36"/>
  <c r="E12" i="36" s="1"/>
  <c r="F11" i="36"/>
  <c r="F12" i="36" s="1"/>
  <c r="E14" i="36"/>
  <c r="F14" i="36"/>
  <c r="E16" i="36"/>
  <c r="E17" i="36" s="1"/>
  <c r="F16" i="36"/>
  <c r="F17" i="36" s="1"/>
  <c r="D14" i="36"/>
  <c r="D11" i="36"/>
  <c r="D12" i="36" s="1"/>
  <c r="F10" i="31"/>
  <c r="L10" i="31" s="1"/>
  <c r="E10" i="31"/>
  <c r="E14" i="31" s="1"/>
  <c r="E20" i="31" s="1"/>
  <c r="L18" i="31"/>
  <c r="L17" i="31"/>
  <c r="L12" i="31"/>
  <c r="L8" i="31"/>
  <c r="L7" i="31"/>
  <c r="K18" i="31"/>
  <c r="K17" i="31"/>
  <c r="K12" i="31"/>
  <c r="K8" i="31"/>
  <c r="K7" i="31"/>
  <c r="J18" i="31"/>
  <c r="J17" i="31"/>
  <c r="J8" i="31"/>
  <c r="J7" i="31"/>
  <c r="D10" i="31"/>
  <c r="D14" i="31" s="1"/>
  <c r="C13" i="39" l="1"/>
  <c r="C15" i="39" s="1"/>
  <c r="I14" i="31"/>
  <c r="C20" i="31"/>
  <c r="C25" i="36" s="1"/>
  <c r="D20" i="37"/>
  <c r="D6" i="39" s="1"/>
  <c r="D13" i="39" s="1"/>
  <c r="D15" i="39" s="1"/>
  <c r="J6" i="31"/>
  <c r="K6" i="31"/>
  <c r="C6" i="15"/>
  <c r="I26" i="15"/>
  <c r="C47" i="15"/>
  <c r="H26" i="15"/>
  <c r="B47" i="15"/>
  <c r="B15" i="36"/>
  <c r="I25" i="15"/>
  <c r="I38" i="15"/>
  <c r="I41" i="15"/>
  <c r="I12" i="15"/>
  <c r="C15" i="36"/>
  <c r="I27" i="15"/>
  <c r="I40" i="15"/>
  <c r="I18" i="15"/>
  <c r="I9" i="15"/>
  <c r="I17" i="15"/>
  <c r="I16" i="15"/>
  <c r="I11" i="15"/>
  <c r="I10" i="15"/>
  <c r="I32" i="15"/>
  <c r="I39" i="15"/>
  <c r="I31" i="15"/>
  <c r="B25" i="36"/>
  <c r="B27" i="36"/>
  <c r="H32" i="15"/>
  <c r="H38" i="15"/>
  <c r="H12" i="15"/>
  <c r="H17" i="15"/>
  <c r="H16" i="15"/>
  <c r="H40" i="15"/>
  <c r="H18" i="15"/>
  <c r="H41" i="15"/>
  <c r="H9" i="15"/>
  <c r="H10" i="15"/>
  <c r="H31" i="15"/>
  <c r="H27" i="15"/>
  <c r="B26" i="36"/>
  <c r="H25" i="15"/>
  <c r="H39" i="15"/>
  <c r="H11" i="15"/>
  <c r="J14" i="31"/>
  <c r="J10" i="31"/>
  <c r="F14" i="31"/>
  <c r="F20" i="31" s="1"/>
  <c r="K14" i="31"/>
  <c r="K10" i="31"/>
  <c r="C26" i="36" l="1"/>
  <c r="C27" i="36"/>
  <c r="I20" i="31"/>
  <c r="I19" i="15"/>
  <c r="H28" i="15"/>
  <c r="E20" i="37"/>
  <c r="E6" i="39" s="1"/>
  <c r="E13" i="39" s="1"/>
  <c r="E15" i="39" s="1"/>
  <c r="I6" i="15"/>
  <c r="B6" i="15"/>
  <c r="C6" i="31"/>
  <c r="C4" i="36"/>
  <c r="I13" i="15"/>
  <c r="I21" i="15" s="1"/>
  <c r="I28" i="15"/>
  <c r="I33" i="15"/>
  <c r="I42" i="15"/>
  <c r="H13" i="15"/>
  <c r="H42" i="15"/>
  <c r="H33" i="15"/>
  <c r="H19" i="15"/>
  <c r="K20" i="31"/>
  <c r="E27" i="36"/>
  <c r="J20" i="31"/>
  <c r="D27" i="36"/>
  <c r="L14" i="31"/>
  <c r="H35" i="15" l="1"/>
  <c r="H45" i="15" s="1"/>
  <c r="H21" i="15"/>
  <c r="F20" i="37"/>
  <c r="F6" i="39" s="1"/>
  <c r="F13" i="39" s="1"/>
  <c r="F15" i="39" s="1"/>
  <c r="B17" i="39" s="1"/>
  <c r="H6" i="15"/>
  <c r="B4" i="36"/>
  <c r="B6" i="31"/>
  <c r="I6" i="31"/>
  <c r="I35" i="15"/>
  <c r="I45" i="15" s="1"/>
  <c r="L20" i="31"/>
  <c r="F27" i="36"/>
  <c r="G20" i="37" l="1"/>
  <c r="G6" i="39" s="1"/>
  <c r="G13" i="39" s="1"/>
  <c r="H6" i="31"/>
  <c r="F42" i="15"/>
  <c r="E42" i="15"/>
  <c r="E33" i="15"/>
  <c r="F33" i="15"/>
  <c r="D33" i="15"/>
  <c r="E28" i="15"/>
  <c r="F28" i="15"/>
  <c r="F7" i="36" s="1"/>
  <c r="D28" i="15"/>
  <c r="D7" i="36" s="1"/>
  <c r="E19" i="15"/>
  <c r="F19" i="15"/>
  <c r="E13" i="15"/>
  <c r="F13" i="15"/>
  <c r="G15" i="39" l="1"/>
  <c r="B18" i="39" s="1"/>
  <c r="B20" i="39" s="1"/>
  <c r="C7" i="40" s="1"/>
  <c r="C10" i="40" s="1"/>
  <c r="C12" i="40" s="1"/>
  <c r="C13" i="40" s="1"/>
  <c r="C15" i="40" s="1"/>
  <c r="C16" i="40" s="1"/>
  <c r="C18" i="40" s="1"/>
  <c r="C20" i="40" s="1"/>
  <c r="F22" i="36"/>
  <c r="F25" i="36"/>
  <c r="E22" i="36"/>
  <c r="E25" i="36"/>
  <c r="E35" i="15"/>
  <c r="E45" i="15" s="1"/>
  <c r="E7" i="36"/>
  <c r="F21" i="15"/>
  <c r="L41" i="15" s="1"/>
  <c r="F6" i="36"/>
  <c r="F8" i="36"/>
  <c r="F13" i="36" s="1"/>
  <c r="E6" i="36"/>
  <c r="E8" i="36"/>
  <c r="E13" i="36" s="1"/>
  <c r="F35" i="15"/>
  <c r="F45" i="15" s="1"/>
  <c r="E21" i="15"/>
  <c r="D35" i="15"/>
  <c r="D19" i="15"/>
  <c r="L27" i="15" l="1"/>
  <c r="L39" i="15"/>
  <c r="L38" i="15"/>
  <c r="F47" i="15"/>
  <c r="E47" i="15"/>
  <c r="L17" i="15"/>
  <c r="L40" i="15"/>
  <c r="L31" i="15"/>
  <c r="L33" i="15" s="1"/>
  <c r="L32" i="15"/>
  <c r="L11" i="15"/>
  <c r="L16" i="15"/>
  <c r="L10" i="15"/>
  <c r="L12" i="15"/>
  <c r="L18" i="15"/>
  <c r="L25" i="15"/>
  <c r="L26" i="15"/>
  <c r="L9" i="15"/>
  <c r="F15" i="36"/>
  <c r="F26" i="36"/>
  <c r="E15" i="36"/>
  <c r="E26" i="36"/>
  <c r="K16" i="15"/>
  <c r="K38" i="15"/>
  <c r="K32" i="15"/>
  <c r="K31" i="15"/>
  <c r="K27" i="15"/>
  <c r="K12" i="15"/>
  <c r="K10" i="15"/>
  <c r="K9" i="15"/>
  <c r="K41" i="15"/>
  <c r="K40" i="15"/>
  <c r="K39" i="15"/>
  <c r="K26" i="15"/>
  <c r="K25" i="15"/>
  <c r="K11" i="15"/>
  <c r="K18" i="15"/>
  <c r="K17" i="15"/>
  <c r="L42" i="15" l="1"/>
  <c r="L28" i="15"/>
  <c r="L35" i="15" s="1"/>
  <c r="L19" i="15"/>
  <c r="L13" i="15"/>
  <c r="L21" i="15" s="1"/>
  <c r="K33" i="15"/>
  <c r="K28" i="15"/>
  <c r="K13" i="15"/>
  <c r="K42" i="15"/>
  <c r="K19" i="15"/>
  <c r="D13" i="15"/>
  <c r="L45" i="15" l="1"/>
  <c r="K35" i="15"/>
  <c r="K45" i="15" s="1"/>
  <c r="K21" i="15"/>
  <c r="D21" i="15"/>
  <c r="J11" i="15" s="1"/>
  <c r="D8" i="36"/>
  <c r="D13" i="36" s="1"/>
  <c r="D6" i="36"/>
  <c r="D42" i="15"/>
  <c r="D45" i="15" s="1"/>
  <c r="J41" i="15" l="1"/>
  <c r="J27" i="15"/>
  <c r="J40" i="15"/>
  <c r="J16" i="15"/>
  <c r="J18" i="15"/>
  <c r="J38" i="15"/>
  <c r="J10" i="15"/>
  <c r="J39" i="15"/>
  <c r="J42" i="15" s="1"/>
  <c r="J32" i="15"/>
  <c r="D47" i="15"/>
  <c r="J9" i="15"/>
  <c r="D22" i="36"/>
  <c r="D25" i="36"/>
  <c r="J26" i="15"/>
  <c r="J17" i="15"/>
  <c r="J12" i="15"/>
  <c r="J25" i="15"/>
  <c r="D15" i="36"/>
  <c r="D26" i="36"/>
  <c r="J31" i="15"/>
  <c r="J13" i="15" l="1"/>
  <c r="J19" i="15"/>
  <c r="J33" i="15"/>
  <c r="J28" i="15"/>
  <c r="J21" i="15"/>
  <c r="J35" i="15" l="1"/>
  <c r="J45" i="15" s="1"/>
</calcChain>
</file>

<file path=xl/sharedStrings.xml><?xml version="1.0" encoding="utf-8"?>
<sst xmlns="http://schemas.openxmlformats.org/spreadsheetml/2006/main" count="333" uniqueCount="142">
  <si>
    <t>[Insert company name]</t>
  </si>
  <si>
    <t>Balance Sheet</t>
  </si>
  <si>
    <t>[Insert period covered]</t>
  </si>
  <si>
    <t>[Insert how data is recorded. (i.e. thousands or millions)]</t>
  </si>
  <si>
    <t>Financial Statements</t>
  </si>
  <si>
    <t>Vertical Analysis, Common Size Statements</t>
  </si>
  <si>
    <t>Assets</t>
  </si>
  <si>
    <t>Current Assets</t>
  </si>
  <si>
    <t>Cash and Cash Equivalents</t>
  </si>
  <si>
    <t>[insert value]</t>
  </si>
  <si>
    <t>Accounts Receivable Net</t>
  </si>
  <si>
    <t>Inventory</t>
  </si>
  <si>
    <t>Other Current Assets</t>
  </si>
  <si>
    <t>Total Current Assets</t>
  </si>
  <si>
    <t>Non-Current Assets</t>
  </si>
  <si>
    <t>Property, Plant, and Equipment Net</t>
  </si>
  <si>
    <t>Intangibles</t>
  </si>
  <si>
    <t>Other Assets</t>
  </si>
  <si>
    <t>Total Non-Current/Fixed Assets</t>
  </si>
  <si>
    <t>Total Assets</t>
  </si>
  <si>
    <t>Liabilities and Owners' Equity</t>
  </si>
  <si>
    <t>Current Liabilities</t>
  </si>
  <si>
    <t xml:space="preserve"> </t>
  </si>
  <si>
    <t>Accounts Payable</t>
  </si>
  <si>
    <t>Accrued Expenses and Other Current Liabilities</t>
  </si>
  <si>
    <t>Current Portion of Debt and Leases</t>
  </si>
  <si>
    <t>Total Current Liabilities</t>
  </si>
  <si>
    <t>Long-Term Liabilities</t>
  </si>
  <si>
    <t>Long-Term Debt and Lease Obligations</t>
  </si>
  <si>
    <t>Other Long-Term Liabilities</t>
  </si>
  <si>
    <t>Total Long-Term Liabilities</t>
  </si>
  <si>
    <t>Total Liabilities</t>
  </si>
  <si>
    <t>Owners' Equity</t>
  </si>
  <si>
    <t>Common Stock, Less Treasury</t>
  </si>
  <si>
    <t>Additional Paid in Capital</t>
  </si>
  <si>
    <t>Retained Earnings</t>
  </si>
  <si>
    <t>Other Equity</t>
  </si>
  <si>
    <t xml:space="preserve">Total Equity </t>
  </si>
  <si>
    <t xml:space="preserve">Total Liabilities &amp; Equity </t>
  </si>
  <si>
    <t>Check Digit: This should be 0 or the balance sheet is out of balance. Check your work.</t>
  </si>
  <si>
    <t>Income Statement</t>
  </si>
  <si>
    <t>Total Revenue (or Sales)</t>
  </si>
  <si>
    <t>Cost of Sales</t>
  </si>
  <si>
    <t>Gross Profit</t>
  </si>
  <si>
    <t>Sales, General, and Administrative Expenses</t>
  </si>
  <si>
    <t>Operating Income</t>
  </si>
  <si>
    <t>Other Income (Expense) *If expense is reported, enter as a negative number.</t>
  </si>
  <si>
    <t>Interest Income / (Expense)</t>
  </si>
  <si>
    <t>Other Income (Expense)</t>
  </si>
  <si>
    <t>Net Income (Loss), Before Tax</t>
  </si>
  <si>
    <t>Vertical Analysis on Revenue only</t>
  </si>
  <si>
    <t>Ratio Analysis</t>
  </si>
  <si>
    <t>Liquidity Ratios</t>
  </si>
  <si>
    <t xml:space="preserve">  Current Ratio</t>
  </si>
  <si>
    <t xml:space="preserve">  Quick Ratio</t>
  </si>
  <si>
    <t xml:space="preserve">  Working Capital</t>
  </si>
  <si>
    <t>Activity Ratios</t>
  </si>
  <si>
    <t xml:space="preserve">  Receivable Turns</t>
  </si>
  <si>
    <t xml:space="preserve">  Days in Receivables</t>
  </si>
  <si>
    <t xml:space="preserve">  Revenues/Working Capital</t>
  </si>
  <si>
    <t xml:space="preserve">  Revenues/Fixed Assets</t>
  </si>
  <si>
    <t xml:space="preserve">  Revenues/Total Assets</t>
  </si>
  <si>
    <t xml:space="preserve">  Inventory Turns</t>
  </si>
  <si>
    <t xml:space="preserve">  Days in Inventory</t>
  </si>
  <si>
    <t xml:space="preserve">  Payables Turns</t>
  </si>
  <si>
    <t xml:space="preserve">  Days in Payables</t>
  </si>
  <si>
    <t>Coverage/Leverage Ratios</t>
  </si>
  <si>
    <t xml:space="preserve">  Fixed Assets/Equity</t>
  </si>
  <si>
    <t>Profitability Ratios</t>
  </si>
  <si>
    <t xml:space="preserve">  Return on Equity</t>
  </si>
  <si>
    <t xml:space="preserve">  Return on Total Assets</t>
  </si>
  <si>
    <t xml:space="preserve">  Net Profit on Revenues</t>
  </si>
  <si>
    <t>[insert most current year]</t>
  </si>
  <si>
    <t>Accounts Receivable, Net</t>
  </si>
  <si>
    <t>Property, Plant and Equipment Net</t>
  </si>
  <si>
    <t xml:space="preserve">*If you received a perfect score on the Milestone Two, please place an "X" next to Miestone Two Perfect Score. Then you do not have to complete this tab because all entries on the Milestone Corrected Balance Sheet tab are correct. 
If you need to correct answers from Milestone Two, place an "X" next to Corrected Milestone Two. Then enter in your corrected answers on this tab. Please highlight your corrected answers in green or note with an asterisk. 
</t>
  </si>
  <si>
    <t xml:space="preserve">Milestone Two Perfect Score: </t>
  </si>
  <si>
    <t>Correct Milestone Two:</t>
  </si>
  <si>
    <t>Vertical Analysis on Revenue Only</t>
  </si>
  <si>
    <t>Project Income Statements</t>
  </si>
  <si>
    <t>Terminal</t>
  </si>
  <si>
    <t>Estimated Annual Revenue Growth Rate</t>
  </si>
  <si>
    <t>Estimated Annual Gross Profit Margin</t>
  </si>
  <si>
    <t>Sales, General, and Administrative Expenses (SG&amp;A)</t>
  </si>
  <si>
    <t>Estimated Annual SG&amp;A (% of Sales)</t>
  </si>
  <si>
    <t>Net Income (Loss)</t>
  </si>
  <si>
    <t>Development of Discount Rate and Capitalization Rate Table</t>
  </si>
  <si>
    <t>Rate</t>
  </si>
  <si>
    <t>Note</t>
  </si>
  <si>
    <t>Risk-free long term U.S. Government bond rate</t>
  </si>
  <si>
    <t>A</t>
  </si>
  <si>
    <t>Equity risk premium</t>
  </si>
  <si>
    <t>B</t>
  </si>
  <si>
    <t>Industry premium estimate</t>
  </si>
  <si>
    <t>C</t>
  </si>
  <si>
    <t>D</t>
  </si>
  <si>
    <t>Cost of equity (Discount Rate)</t>
  </si>
  <si>
    <t>Sum of A - D above</t>
  </si>
  <si>
    <t>Less: Long-term sustainable growth rate</t>
  </si>
  <si>
    <t>E</t>
  </si>
  <si>
    <t>Capitalization Rate</t>
  </si>
  <si>
    <t>NOTES</t>
  </si>
  <si>
    <t>(A) Yield on the twenty-year U.S. Treasury bond as of December 31, 20XX, per the U.S. Treasury</t>
  </si>
  <si>
    <t>(B) Long-horizon expected return of large stocks over risk free securities, U.S. Equity Risk Premium (6.0%)</t>
  </si>
  <si>
    <t>(C) SIC code XX, 1.5%</t>
  </si>
  <si>
    <t>(D) Appraiser's judgement concerning company-specific risk</t>
  </si>
  <si>
    <r>
      <rPr>
        <sz val="11"/>
        <rFont val="Calibri"/>
        <family val="2"/>
      </rPr>
      <t>(E) Estimated long-term growth rate based on inflation, Federal Reserve Bank of Philadelphia</t>
    </r>
  </si>
  <si>
    <t>Discounted Cash Flow Method</t>
  </si>
  <si>
    <t xml:space="preserve">Projected for Years Ending December 31, </t>
  </si>
  <si>
    <t>Forecasted Net Income</t>
  </si>
  <si>
    <t>Plus</t>
  </si>
  <si>
    <t>Depreciation</t>
  </si>
  <si>
    <t>*Less</t>
  </si>
  <si>
    <t>Cash Used for Investments</t>
  </si>
  <si>
    <t>Cash Used for Financing</t>
  </si>
  <si>
    <t>Net Cash Flow</t>
  </si>
  <si>
    <t>Present Value of Cash Flows</t>
  </si>
  <si>
    <t>Net Present Value of Future Cash Flows</t>
  </si>
  <si>
    <t>Net Present Value of Terminal Cash Flow</t>
  </si>
  <si>
    <t>Total Indication of Value</t>
  </si>
  <si>
    <t>* NOTE:  Cash USED must be entered as negative numbers.</t>
  </si>
  <si>
    <t>Final Computation of Value</t>
  </si>
  <si>
    <t>As of [Enter date]</t>
  </si>
  <si>
    <t>Income Approach:  Discounted Cash Flow Method</t>
  </si>
  <si>
    <t>Indicated Value of Equity</t>
  </si>
  <si>
    <t>Weight</t>
  </si>
  <si>
    <t xml:space="preserve">Weighted Value </t>
  </si>
  <si>
    <t>Indicated Value with Voting Rights</t>
  </si>
  <si>
    <t>*Less: DLOC (Discount for Lack of Control)</t>
  </si>
  <si>
    <t>Marketable, Minority Value</t>
  </si>
  <si>
    <t>**Less: DLOM (Discount for Lack of Marketability)</t>
  </si>
  <si>
    <t>Nonmarketable, Minority Value</t>
  </si>
  <si>
    <t>Value of a 1% Interest</t>
  </si>
  <si>
    <t>*Let this default to the rate applied here for the DLOC. It is possible to override this rate with your own. However, an explanation must be provided why it was changed.</t>
  </si>
  <si>
    <t>**Let this default to the rate applied here for DLOM. It is possible to override this rate with your own. However, an explantation must be provided on why it was changed.</t>
  </si>
  <si>
    <t>For the Period of December 31, 2019 through December 31, 2023</t>
  </si>
  <si>
    <t>(Dollars in Thousands)</t>
  </si>
  <si>
    <t>Common Stock, Preferred Stock</t>
  </si>
  <si>
    <t>X</t>
  </si>
  <si>
    <t>Markel Group Inc.</t>
  </si>
  <si>
    <t>For the Period December 31, 2024 through December 31, 2028</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</si>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</sst>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_(&quot;$&quot;* #,##0_);_(&quot;$&quot;* \(#,##0\);_(&quot;$&quot;* &quot;-&quot;??_);_(@_)"/>
  </numFmts>
  <fonts count="29" x14ac:knownFonts="1">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2"/>
      <color theme="1"/>
      <name val="Arial"/>
      <family val="2"/>
    </font>
    <font>
      <b/>
      <sz val="12"/>
      <color theme="1"/>
      <name val="Arial"/>
      <family val="2"/>
    </font>
    <font>
      <b/>
      <sz val="13"/>
      <color theme="3"/>
      <name val="Calibri"/>
      <family val="2"/>
      <scheme val="minor"/>
    </font>
    <font>
      <b/>
      <sz val="13"/>
      <name val="Calibri"/>
      <family val="2"/>
      <scheme val="minor"/>
    </font>
    <font>
      <b/>
      <sz val="11"/>
      <color theme="1"/>
      <name val="Calibri"/>
      <family val="2"/>
      <scheme val="minor"/>
    </font>
    <font>
      <sz val="12"/>
      <name val="Arial"/>
      <family val="2"/>
    </font>
    <font>
      <sz val="11"/>
      <color rgb="FF9C0006"/>
      <name val="Calibri"/>
      <family val="2"/>
      <scheme val="minor"/>
    </font>
    <font>
      <sz val="11"/>
      <color indexed="8"/>
      <name val="Calibri"/>
      <family val="2"/>
    </font>
    <font>
      <sz val="10"/>
      <name val="Arial"/>
      <family val="2"/>
    </font>
    <font>
      <b/>
      <sz val="11"/>
      <color theme="1"/>
      <name val="Calibri"/>
      <family val="2"/>
    </font>
    <font>
      <b/>
      <sz val="12"/>
      <color theme="1"/>
      <name val="Calibri"/>
      <family val="2"/>
    </font>
    <font>
      <sz val="11"/>
      <color theme="1"/>
      <name val="Calibri"/>
      <family val="2"/>
    </font>
    <font>
      <b/>
      <sz val="13"/>
      <name val="Calibri"/>
      <family val="2"/>
    </font>
    <font>
      <sz val="12"/>
      <color rgb="FF000000"/>
      <name val="Calibri"/>
      <family val="2"/>
    </font>
    <font>
      <sz val="12"/>
      <color theme="1"/>
      <name val="Calibri"/>
      <family val="2"/>
    </font>
    <font>
      <b/>
      <sz val="11"/>
      <name val="Calibri"/>
      <family val="2"/>
    </font>
    <font>
      <sz val="11"/>
      <color rgb="FF000000"/>
      <name val="Calibri"/>
      <family val="2"/>
    </font>
    <font>
      <sz val="12"/>
      <name val="Calibri"/>
      <family val="2"/>
    </font>
    <font>
      <i/>
      <sz val="11"/>
      <color theme="1"/>
      <name val="Calibri"/>
      <family val="2"/>
    </font>
    <font>
      <b/>
      <sz val="11"/>
      <color rgb="FF000000"/>
      <name val="Calibri"/>
      <family val="2"/>
    </font>
    <font>
      <sz val="11"/>
      <color rgb="FFFFFFFF"/>
      <name val="Calibri"/>
      <family val="2"/>
    </font>
    <font>
      <b/>
      <sz val="11"/>
      <color rgb="FFFFFFFF"/>
      <name val="Calibri"/>
      <family val="2"/>
    </font>
    <font>
      <sz val="11"/>
      <name val="Calibri"/>
      <family val="2"/>
    </font>
    <font>
      <b/>
      <sz val="14"/>
      <color theme="1"/>
      <name val="Calibri"/>
      <family val="2"/>
      <scheme val="minor"/>
    </font>
    <font>
      <b/>
      <sz val="14"/>
      <color theme="1"/>
      <name val="Calibri"/>
      <family val="2"/>
    </font>
  </fonts>
  <fills count="10">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rgb="FFFFC7CE"/>
      </patternFill>
    </fill>
    <fill>
      <patternFill patternType="solid">
        <fgColor rgb="FFD8E4BC"/>
        <bgColor indexed="64"/>
      </patternFill>
    </fill>
    <fill>
      <patternFill patternType="solid">
        <fgColor rgb="FFB7BFA3"/>
        <bgColor indexed="64"/>
      </patternFill>
    </fill>
    <fill>
      <patternFill patternType="solid">
        <fgColor rgb="FFDAEEF3"/>
        <bgColor indexed="64"/>
      </patternFill>
    </fill>
    <fill>
      <patternFill patternType="solid">
        <fgColor rgb="FFB8CAC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ck">
        <color theme="4" tint="0.499984740745262"/>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indexed="64"/>
      </left>
      <right/>
      <top style="thin">
        <color indexed="64"/>
      </top>
      <bottom style="thin">
        <color indexed="64"/>
      </bottom>
      <diagonal/>
    </border>
    <border>
      <left/>
      <right/>
      <top/>
      <bottom style="medium">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s>
  <cellStyleXfs count="11">
    <xf numFmtId="0" fontId="0" fillId="0" borderId="0"/>
    <xf numFmtId="43" fontId="3" fillId="0" borderId="0" applyFont="0" applyFill="0" applyBorder="0" applyAlignment="0" applyProtection="0"/>
    <xf numFmtId="44" fontId="3" fillId="0" borderId="0" applyFont="0" applyFill="0" applyBorder="0" applyAlignment="0" applyProtection="0"/>
    <xf numFmtId="0" fontId="2" fillId="2" borderId="0" applyNumberFormat="0" applyBorder="0" applyAlignment="0" applyProtection="0"/>
    <xf numFmtId="0" fontId="6" fillId="0" borderId="2" applyNumberFormat="0" applyFill="0" applyAlignment="0" applyProtection="0"/>
    <xf numFmtId="0" fontId="1" fillId="3" borderId="0" applyNumberFormat="0" applyBorder="0" applyAlignment="0" applyProtection="0"/>
    <xf numFmtId="0" fontId="1" fillId="4" borderId="0" applyNumberFormat="0" applyBorder="0" applyAlignment="0" applyProtection="0"/>
    <xf numFmtId="0" fontId="10" fillId="5" borderId="0" applyNumberFormat="0" applyBorder="0" applyAlignment="0" applyProtection="0"/>
    <xf numFmtId="9" fontId="3" fillId="0" borderId="0" applyFont="0" applyFill="0" applyBorder="0" applyAlignment="0" applyProtection="0"/>
    <xf numFmtId="43" fontId="11" fillId="0" borderId="0" applyFont="0" applyFill="0" applyBorder="0" applyAlignment="0" applyProtection="0"/>
    <xf numFmtId="0" fontId="12" fillId="0" borderId="0"/>
  </cellStyleXfs>
  <cellXfs count="167">
    <xf numFmtId="0" fontId="0" fillId="0" borderId="0" xfId="0"/>
    <xf numFmtId="43" fontId="0" fillId="0" borderId="0" xfId="0" applyNumberFormat="1"/>
    <xf numFmtId="43" fontId="4" fillId="0" borderId="0" xfId="0" applyNumberFormat="1" applyFont="1"/>
    <xf numFmtId="0" fontId="4" fillId="0" borderId="0" xfId="0" applyFont="1"/>
    <xf numFmtId="0" fontId="5" fillId="0" borderId="0" xfId="0" applyFont="1"/>
    <xf numFmtId="43" fontId="4" fillId="0" borderId="0" xfId="1" applyFont="1" applyFill="1" applyBorder="1"/>
    <xf numFmtId="43" fontId="5" fillId="0" borderId="0" xfId="2" applyNumberFormat="1" applyFont="1" applyFill="1" applyBorder="1"/>
    <xf numFmtId="44" fontId="5" fillId="0" borderId="0" xfId="2" applyFont="1" applyFill="1" applyBorder="1"/>
    <xf numFmtId="0" fontId="2" fillId="0" borderId="0" xfId="0" applyFont="1"/>
    <xf numFmtId="10" fontId="0" fillId="0" borderId="0" xfId="0" applyNumberFormat="1"/>
    <xf numFmtId="44" fontId="0" fillId="0" borderId="0" xfId="0" applyNumberFormat="1"/>
    <xf numFmtId="44" fontId="8" fillId="0" borderId="0" xfId="6" applyNumberFormat="1" applyFont="1" applyFill="1" applyBorder="1"/>
    <xf numFmtId="0" fontId="7" fillId="0" borderId="5" xfId="4" applyFont="1" applyFill="1" applyBorder="1"/>
    <xf numFmtId="44" fontId="7" fillId="0" borderId="0" xfId="1" applyNumberFormat="1" applyFont="1" applyFill="1" applyBorder="1"/>
    <xf numFmtId="0" fontId="9" fillId="0" borderId="0" xfId="0" applyFont="1"/>
    <xf numFmtId="0" fontId="7" fillId="0" borderId="0" xfId="4" applyFont="1" applyFill="1" applyBorder="1"/>
    <xf numFmtId="164" fontId="0" fillId="0" borderId="0" xfId="0" applyNumberFormat="1"/>
    <xf numFmtId="10" fontId="7" fillId="0" borderId="0" xfId="8" applyNumberFormat="1" applyFont="1" applyFill="1" applyBorder="1"/>
    <xf numFmtId="10" fontId="0" fillId="0" borderId="0" xfId="8" applyNumberFormat="1" applyFont="1"/>
    <xf numFmtId="0" fontId="10" fillId="0" borderId="0" xfId="7" applyFill="1"/>
    <xf numFmtId="10" fontId="0" fillId="0" borderId="0" xfId="8" applyNumberFormat="1" applyFont="1" applyBorder="1"/>
    <xf numFmtId="0" fontId="14" fillId="0" borderId="0" xfId="0" applyFont="1" applyAlignment="1">
      <alignment horizontal="center"/>
    </xf>
    <xf numFmtId="0" fontId="15" fillId="0" borderId="0" xfId="0" applyFont="1"/>
    <xf numFmtId="0" fontId="13" fillId="0" borderId="15" xfId="0" applyFont="1" applyBorder="1" applyAlignment="1">
      <alignment horizontal="center"/>
    </xf>
    <xf numFmtId="0" fontId="13" fillId="0" borderId="16" xfId="0" applyFont="1" applyBorder="1" applyAlignment="1">
      <alignment horizontal="center"/>
    </xf>
    <xf numFmtId="0" fontId="13" fillId="0" borderId="17" xfId="0" applyFont="1" applyBorder="1" applyAlignment="1">
      <alignment horizontal="center"/>
    </xf>
    <xf numFmtId="0" fontId="16" fillId="7" borderId="0" xfId="4" applyFont="1" applyFill="1" applyBorder="1"/>
    <xf numFmtId="44" fontId="13" fillId="7" borderId="0" xfId="6" applyNumberFormat="1" applyFont="1" applyFill="1" applyBorder="1"/>
    <xf numFmtId="0" fontId="14" fillId="6" borderId="0" xfId="0" applyFont="1" applyFill="1"/>
    <xf numFmtId="44" fontId="15" fillId="6" borderId="0" xfId="0" applyNumberFormat="1" applyFont="1" applyFill="1"/>
    <xf numFmtId="0" fontId="15" fillId="0" borderId="1" xfId="5" applyFont="1" applyFill="1" applyBorder="1"/>
    <xf numFmtId="44" fontId="15" fillId="0" borderId="1" xfId="5" applyNumberFormat="1" applyFont="1" applyFill="1" applyBorder="1"/>
    <xf numFmtId="44" fontId="15" fillId="0" borderId="0" xfId="5" applyNumberFormat="1" applyFont="1" applyFill="1" applyBorder="1"/>
    <xf numFmtId="10" fontId="15" fillId="0" borderId="1" xfId="5" applyNumberFormat="1" applyFont="1" applyFill="1" applyBorder="1"/>
    <xf numFmtId="0" fontId="15" fillId="0" borderId="1" xfId="3" applyFont="1" applyFill="1" applyBorder="1"/>
    <xf numFmtId="44" fontId="18" fillId="0" borderId="0" xfId="3" applyNumberFormat="1" applyFont="1" applyFill="1" applyBorder="1"/>
    <xf numFmtId="0" fontId="16" fillId="6" borderId="1" xfId="4" applyFont="1" applyFill="1" applyBorder="1"/>
    <xf numFmtId="44" fontId="16" fillId="6" borderId="6" xfId="4" applyNumberFormat="1" applyFont="1" applyFill="1" applyBorder="1"/>
    <xf numFmtId="10" fontId="16" fillId="6" borderId="6" xfId="4" applyNumberFormat="1" applyFont="1" applyFill="1" applyBorder="1"/>
    <xf numFmtId="44" fontId="18" fillId="0" borderId="0" xfId="0" applyNumberFormat="1" applyFont="1"/>
    <xf numFmtId="44" fontId="18" fillId="6" borderId="0" xfId="0" applyNumberFormat="1" applyFont="1" applyFill="1"/>
    <xf numFmtId="44" fontId="17" fillId="0" borderId="0" xfId="3" applyNumberFormat="1" applyFont="1" applyFill="1" applyBorder="1"/>
    <xf numFmtId="44" fontId="16" fillId="6" borderId="7" xfId="4" applyNumberFormat="1" applyFont="1" applyFill="1" applyBorder="1"/>
    <xf numFmtId="10" fontId="16" fillId="6" borderId="7" xfId="4" applyNumberFormat="1" applyFont="1" applyFill="1" applyBorder="1"/>
    <xf numFmtId="44" fontId="15" fillId="0" borderId="0" xfId="0" applyNumberFormat="1" applyFont="1"/>
    <xf numFmtId="0" fontId="15" fillId="0" borderId="0" xfId="5" applyFont="1" applyFill="1" applyBorder="1"/>
    <xf numFmtId="0" fontId="14" fillId="0" borderId="0" xfId="5" applyFont="1" applyFill="1" applyBorder="1"/>
    <xf numFmtId="44" fontId="14" fillId="0" borderId="0" xfId="5" applyNumberFormat="1" applyFont="1" applyFill="1" applyBorder="1"/>
    <xf numFmtId="0" fontId="18" fillId="0" borderId="0" xfId="0" applyFont="1"/>
    <xf numFmtId="164" fontId="18" fillId="0" borderId="0" xfId="0" applyNumberFormat="1" applyFont="1"/>
    <xf numFmtId="0" fontId="14" fillId="0" borderId="0" xfId="0" applyFont="1"/>
    <xf numFmtId="164" fontId="14" fillId="0" borderId="0" xfId="0" applyNumberFormat="1" applyFont="1"/>
    <xf numFmtId="44" fontId="14" fillId="0" borderId="0" xfId="0" applyNumberFormat="1" applyFont="1"/>
    <xf numFmtId="164" fontId="15" fillId="0" borderId="0" xfId="0" applyNumberFormat="1" applyFont="1"/>
    <xf numFmtId="164" fontId="18" fillId="6" borderId="0" xfId="0" applyNumberFormat="1" applyFont="1" applyFill="1"/>
    <xf numFmtId="0" fontId="19" fillId="0" borderId="1" xfId="4" applyFont="1" applyFill="1" applyBorder="1"/>
    <xf numFmtId="44" fontId="19" fillId="0" borderId="6" xfId="4" applyNumberFormat="1" applyFont="1" applyFill="1" applyBorder="1"/>
    <xf numFmtId="44" fontId="19" fillId="0" borderId="0" xfId="4" applyNumberFormat="1" applyFont="1" applyFill="1" applyBorder="1"/>
    <xf numFmtId="10" fontId="19" fillId="0" borderId="6" xfId="4" applyNumberFormat="1" applyFont="1" applyFill="1" applyBorder="1"/>
    <xf numFmtId="44" fontId="19" fillId="0" borderId="7" xfId="4" applyNumberFormat="1" applyFont="1" applyFill="1" applyBorder="1"/>
    <xf numFmtId="10" fontId="19" fillId="0" borderId="7" xfId="4" applyNumberFormat="1" applyFont="1" applyFill="1" applyBorder="1"/>
    <xf numFmtId="0" fontId="16" fillId="7" borderId="1" xfId="4" applyFont="1" applyFill="1" applyBorder="1"/>
    <xf numFmtId="44" fontId="16" fillId="7" borderId="7" xfId="4" applyNumberFormat="1" applyFont="1" applyFill="1" applyBorder="1"/>
    <xf numFmtId="10" fontId="16" fillId="7" borderId="7" xfId="4" applyNumberFormat="1" applyFont="1" applyFill="1" applyBorder="1"/>
    <xf numFmtId="0" fontId="14" fillId="8" borderId="0" xfId="0" applyFont="1" applyFill="1"/>
    <xf numFmtId="44" fontId="15" fillId="8" borderId="0" xfId="0" applyNumberFormat="1" applyFont="1" applyFill="1"/>
    <xf numFmtId="44" fontId="18" fillId="8" borderId="0" xfId="0" applyNumberFormat="1" applyFont="1" applyFill="1"/>
    <xf numFmtId="0" fontId="16" fillId="8" borderId="1" xfId="4" applyFont="1" applyFill="1" applyBorder="1"/>
    <xf numFmtId="0" fontId="16" fillId="9" borderId="0" xfId="4" applyFont="1" applyFill="1" applyBorder="1"/>
    <xf numFmtId="44" fontId="13" fillId="9" borderId="0" xfId="6" applyNumberFormat="1" applyFont="1" applyFill="1" applyBorder="1"/>
    <xf numFmtId="0" fontId="16" fillId="9" borderId="1" xfId="4" applyFont="1" applyFill="1" applyBorder="1"/>
    <xf numFmtId="44" fontId="16" fillId="9" borderId="7" xfId="4" applyNumberFormat="1" applyFont="1" applyFill="1" applyBorder="1"/>
    <xf numFmtId="10" fontId="16" fillId="9" borderId="7" xfId="4" applyNumberFormat="1" applyFont="1" applyFill="1" applyBorder="1"/>
    <xf numFmtId="164" fontId="18" fillId="8" borderId="0" xfId="0" applyNumberFormat="1" applyFont="1" applyFill="1"/>
    <xf numFmtId="44" fontId="20" fillId="0" borderId="1" xfId="3" applyNumberFormat="1" applyFont="1" applyFill="1" applyBorder="1"/>
    <xf numFmtId="0" fontId="15" fillId="0" borderId="0" xfId="0" applyFont="1" applyAlignment="1">
      <alignment wrapText="1"/>
    </xf>
    <xf numFmtId="17" fontId="14" fillId="0" borderId="0" xfId="0" applyNumberFormat="1" applyFont="1" applyAlignment="1">
      <alignment horizontal="center" wrapText="1"/>
    </xf>
    <xf numFmtId="10" fontId="15" fillId="0" borderId="4" xfId="5" applyNumberFormat="1" applyFont="1" applyFill="1" applyBorder="1"/>
    <xf numFmtId="10" fontId="17" fillId="0" borderId="1" xfId="3" applyNumberFormat="1" applyFont="1" applyFill="1" applyBorder="1"/>
    <xf numFmtId="0" fontId="16" fillId="0" borderId="5" xfId="4" applyFont="1" applyFill="1" applyBorder="1"/>
    <xf numFmtId="44" fontId="16" fillId="0" borderId="0" xfId="1" applyNumberFormat="1" applyFont="1" applyFill="1" applyBorder="1"/>
    <xf numFmtId="0" fontId="16" fillId="0" borderId="0" xfId="4" applyFont="1" applyFill="1" applyBorder="1"/>
    <xf numFmtId="164" fontId="16" fillId="0" borderId="0" xfId="1" applyNumberFormat="1" applyFont="1" applyFill="1" applyBorder="1"/>
    <xf numFmtId="164" fontId="16" fillId="8" borderId="6" xfId="4" applyNumberFormat="1" applyFont="1" applyFill="1" applyBorder="1"/>
    <xf numFmtId="10" fontId="16" fillId="8" borderId="6" xfId="8" applyNumberFormat="1" applyFont="1" applyFill="1" applyBorder="1"/>
    <xf numFmtId="44" fontId="16" fillId="8" borderId="6" xfId="4" applyNumberFormat="1" applyFont="1" applyFill="1" applyBorder="1"/>
    <xf numFmtId="10" fontId="16" fillId="8" borderId="6" xfId="4" applyNumberFormat="1" applyFont="1" applyFill="1" applyBorder="1"/>
    <xf numFmtId="164" fontId="16" fillId="6" borderId="6" xfId="4" applyNumberFormat="1" applyFont="1" applyFill="1" applyBorder="1"/>
    <xf numFmtId="10" fontId="16" fillId="6" borderId="6" xfId="8" applyNumberFormat="1" applyFont="1" applyFill="1" applyBorder="1"/>
    <xf numFmtId="0" fontId="13" fillId="0" borderId="0" xfId="0" applyFont="1" applyAlignment="1">
      <alignment horizontal="center"/>
    </xf>
    <xf numFmtId="0" fontId="21" fillId="0" borderId="3" xfId="0" applyFont="1" applyBorder="1"/>
    <xf numFmtId="0" fontId="21" fillId="0" borderId="0" xfId="0" applyFont="1"/>
    <xf numFmtId="0" fontId="16" fillId="8" borderId="10" xfId="4" applyFont="1" applyFill="1" applyBorder="1"/>
    <xf numFmtId="44" fontId="16" fillId="8" borderId="13" xfId="4" applyNumberFormat="1" applyFont="1" applyFill="1" applyBorder="1"/>
    <xf numFmtId="44" fontId="16" fillId="8" borderId="14" xfId="4" applyNumberFormat="1" applyFont="1" applyFill="1" applyBorder="1"/>
    <xf numFmtId="0" fontId="20" fillId="0" borderId="12" xfId="0" applyFont="1" applyBorder="1"/>
    <xf numFmtId="2" fontId="20" fillId="0" borderId="12" xfId="0" applyNumberFormat="1" applyFont="1" applyBorder="1"/>
    <xf numFmtId="0" fontId="20" fillId="0" borderId="4" xfId="0" applyFont="1" applyBorder="1"/>
    <xf numFmtId="2" fontId="20" fillId="0" borderId="4" xfId="0" applyNumberFormat="1" applyFont="1" applyBorder="1"/>
    <xf numFmtId="0" fontId="20" fillId="0" borderId="8" xfId="0" applyFont="1" applyBorder="1"/>
    <xf numFmtId="44" fontId="20" fillId="0" borderId="8" xfId="0" applyNumberFormat="1" applyFont="1" applyBorder="1"/>
    <xf numFmtId="2" fontId="20" fillId="0" borderId="8" xfId="0" applyNumberFormat="1" applyFont="1" applyBorder="1"/>
    <xf numFmtId="10" fontId="20" fillId="0" borderId="4" xfId="0" applyNumberFormat="1" applyFont="1" applyBorder="1"/>
    <xf numFmtId="10" fontId="20" fillId="0" borderId="8" xfId="0" applyNumberFormat="1" applyFont="1" applyBorder="1"/>
    <xf numFmtId="44" fontId="20" fillId="0" borderId="0" xfId="3" applyNumberFormat="1" applyFont="1" applyFill="1" applyBorder="1"/>
    <xf numFmtId="10" fontId="20" fillId="0" borderId="1" xfId="3" applyNumberFormat="1" applyFont="1" applyFill="1" applyBorder="1"/>
    <xf numFmtId="0" fontId="16" fillId="6" borderId="10" xfId="4" applyFont="1" applyFill="1" applyBorder="1"/>
    <xf numFmtId="44" fontId="16" fillId="6" borderId="13" xfId="4" applyNumberFormat="1" applyFont="1" applyFill="1" applyBorder="1"/>
    <xf numFmtId="44" fontId="16" fillId="6" borderId="14" xfId="4" applyNumberFormat="1" applyFont="1" applyFill="1" applyBorder="1"/>
    <xf numFmtId="10" fontId="20" fillId="0" borderId="1" xfId="8" applyNumberFormat="1" applyFont="1" applyFill="1" applyBorder="1"/>
    <xf numFmtId="0" fontId="15" fillId="0" borderId="1" xfId="3" applyFont="1" applyFill="1" applyBorder="1" applyAlignment="1">
      <alignment horizontal="left"/>
    </xf>
    <xf numFmtId="0" fontId="22" fillId="0" borderId="1" xfId="3" applyFont="1" applyFill="1" applyBorder="1" applyAlignment="1">
      <alignment horizontal="left"/>
    </xf>
    <xf numFmtId="44" fontId="20" fillId="0" borderId="1" xfId="8" applyNumberFormat="1" applyFont="1" applyFill="1" applyBorder="1"/>
    <xf numFmtId="8" fontId="20" fillId="0" borderId="1" xfId="8" applyNumberFormat="1" applyFont="1" applyFill="1" applyBorder="1"/>
    <xf numFmtId="8" fontId="15" fillId="0" borderId="1" xfId="5" applyNumberFormat="1" applyFont="1" applyFill="1" applyBorder="1"/>
    <xf numFmtId="44" fontId="16" fillId="6" borderId="1" xfId="4" applyNumberFormat="1" applyFont="1" applyFill="1" applyBorder="1"/>
    <xf numFmtId="44" fontId="15" fillId="6" borderId="1" xfId="5" applyNumberFormat="1" applyFont="1" applyFill="1" applyBorder="1"/>
    <xf numFmtId="0" fontId="15" fillId="0" borderId="1" xfId="5" applyFont="1" applyFill="1" applyBorder="1" applyAlignment="1">
      <alignment horizontal="left"/>
    </xf>
    <xf numFmtId="0" fontId="13" fillId="0" borderId="1" xfId="5" applyFont="1" applyFill="1" applyBorder="1"/>
    <xf numFmtId="44" fontId="16" fillId="6" borderId="13" xfId="4" applyNumberFormat="1" applyFont="1" applyFill="1" applyBorder="1" applyAlignment="1">
      <alignment horizontal="center"/>
    </xf>
    <xf numFmtId="44" fontId="16" fillId="6" borderId="13" xfId="4" applyNumberFormat="1" applyFont="1" applyFill="1" applyBorder="1" applyAlignment="1">
      <alignment horizontal="center" wrapText="1"/>
    </xf>
    <xf numFmtId="10" fontId="20" fillId="0" borderId="12" xfId="8" applyNumberFormat="1" applyFont="1" applyFill="1" applyBorder="1" applyAlignment="1">
      <alignment horizontal="center"/>
    </xf>
    <xf numFmtId="44" fontId="20" fillId="0" borderId="4" xfId="8" applyNumberFormat="1" applyFont="1" applyFill="1" applyBorder="1" applyAlignment="1">
      <alignment horizontal="center"/>
    </xf>
    <xf numFmtId="10" fontId="20" fillId="0" borderId="8" xfId="8" applyNumberFormat="1" applyFont="1" applyFill="1" applyBorder="1" applyAlignment="1">
      <alignment horizontal="center"/>
    </xf>
    <xf numFmtId="10" fontId="20" fillId="0" borderId="4" xfId="8" applyNumberFormat="1" applyFont="1" applyFill="1" applyBorder="1" applyAlignment="1">
      <alignment horizontal="center"/>
    </xf>
    <xf numFmtId="2" fontId="23" fillId="0" borderId="8" xfId="0" applyNumberFormat="1" applyFont="1" applyBorder="1"/>
    <xf numFmtId="44" fontId="20" fillId="0" borderId="8" xfId="8" applyNumberFormat="1" applyFont="1" applyFill="1" applyBorder="1" applyAlignment="1">
      <alignment horizontal="center"/>
    </xf>
    <xf numFmtId="2" fontId="20" fillId="0" borderId="4" xfId="0" applyNumberFormat="1" applyFont="1" applyBorder="1" applyAlignment="1">
      <alignment horizontal="center"/>
    </xf>
    <xf numFmtId="9" fontId="20" fillId="0" borderId="4" xfId="8" applyFont="1" applyFill="1" applyBorder="1" applyAlignment="1">
      <alignment horizontal="center"/>
    </xf>
    <xf numFmtId="44" fontId="20" fillId="0" borderId="4" xfId="0" applyNumberFormat="1" applyFont="1" applyBorder="1"/>
    <xf numFmtId="2" fontId="20" fillId="0" borderId="8" xfId="0" applyNumberFormat="1" applyFont="1" applyBorder="1" applyAlignment="1">
      <alignment horizontal="center"/>
    </xf>
    <xf numFmtId="9" fontId="20" fillId="0" borderId="8" xfId="8" applyFont="1" applyFill="1" applyBorder="1" applyAlignment="1">
      <alignment horizontal="center"/>
    </xf>
    <xf numFmtId="44" fontId="20" fillId="0" borderId="8" xfId="2" applyFont="1" applyFill="1" applyBorder="1"/>
    <xf numFmtId="0" fontId="13" fillId="0" borderId="0" xfId="0" applyFont="1"/>
    <xf numFmtId="44" fontId="16" fillId="0" borderId="0" xfId="4" applyNumberFormat="1" applyFont="1" applyFill="1" applyBorder="1"/>
    <xf numFmtId="44" fontId="13" fillId="0" borderId="0" xfId="6" applyNumberFormat="1" applyFont="1" applyFill="1" applyBorder="1"/>
    <xf numFmtId="2" fontId="24" fillId="0" borderId="0" xfId="0" applyNumberFormat="1" applyFont="1"/>
    <xf numFmtId="0" fontId="24" fillId="0" borderId="0" xfId="0" applyFont="1"/>
    <xf numFmtId="10" fontId="25" fillId="0" borderId="1" xfId="5" applyNumberFormat="1" applyFont="1" applyFill="1" applyBorder="1"/>
    <xf numFmtId="10" fontId="25" fillId="0" borderId="1" xfId="3" applyNumberFormat="1" applyFont="1" applyFill="1" applyBorder="1" applyAlignment="1">
      <alignment horizontal="right"/>
    </xf>
    <xf numFmtId="44" fontId="16" fillId="0" borderId="13" xfId="4" applyNumberFormat="1" applyFont="1" applyFill="1" applyBorder="1" applyAlignment="1">
      <alignment horizontal="center"/>
    </xf>
    <xf numFmtId="2" fontId="23" fillId="0" borderId="12" xfId="0" applyNumberFormat="1" applyFont="1" applyBorder="1" applyAlignment="1">
      <alignment horizontal="center"/>
    </xf>
    <xf numFmtId="2" fontId="23" fillId="0" borderId="4" xfId="0" applyNumberFormat="1" applyFont="1" applyBorder="1" applyAlignment="1">
      <alignment horizontal="center"/>
    </xf>
    <xf numFmtId="2" fontId="23" fillId="6" borderId="8" xfId="0" applyNumberFormat="1" applyFont="1" applyFill="1" applyBorder="1"/>
    <xf numFmtId="10" fontId="20" fillId="6" borderId="8" xfId="8" applyNumberFormat="1" applyFont="1" applyFill="1" applyBorder="1" applyAlignment="1">
      <alignment horizontal="center"/>
    </xf>
    <xf numFmtId="2" fontId="23" fillId="6" borderId="8" xfId="0" applyNumberFormat="1" applyFont="1" applyFill="1" applyBorder="1" applyAlignment="1">
      <alignment horizontal="center"/>
    </xf>
    <xf numFmtId="44" fontId="16" fillId="6" borderId="18" xfId="4" applyNumberFormat="1" applyFont="1" applyFill="1" applyBorder="1" applyAlignment="1">
      <alignment horizontal="center"/>
    </xf>
    <xf numFmtId="44" fontId="16" fillId="6" borderId="19" xfId="4" applyNumberFormat="1" applyFont="1" applyFill="1" applyBorder="1" applyAlignment="1">
      <alignment horizontal="center"/>
    </xf>
    <xf numFmtId="0" fontId="19" fillId="6" borderId="1" xfId="4" applyFont="1" applyFill="1" applyBorder="1"/>
    <xf numFmtId="44" fontId="19" fillId="6" borderId="6" xfId="4" applyNumberFormat="1" applyFont="1" applyFill="1" applyBorder="1"/>
    <xf numFmtId="10" fontId="19" fillId="6" borderId="6" xfId="4" applyNumberFormat="1" applyFont="1" applyFill="1" applyBorder="1"/>
    <xf numFmtId="0" fontId="0" fillId="0" borderId="0" xfId="0" applyAlignment="1">
      <alignment vertical="center"/>
    </xf>
    <xf numFmtId="44" fontId="14" fillId="0" borderId="15" xfId="0" applyNumberFormat="1" applyFont="1" applyBorder="1" applyAlignment="1">
      <alignment horizontal="center"/>
    </xf>
    <xf numFmtId="44" fontId="14" fillId="0" borderId="16" xfId="0" applyNumberFormat="1" applyFont="1" applyBorder="1" applyAlignment="1">
      <alignment horizontal="center"/>
    </xf>
    <xf numFmtId="44" fontId="14" fillId="0" borderId="17" xfId="0" applyNumberFormat="1" applyFont="1" applyBorder="1" applyAlignment="1">
      <alignment horizontal="center"/>
    </xf>
    <xf numFmtId="0" fontId="14" fillId="8" borderId="9" xfId="0" applyFont="1" applyFill="1" applyBorder="1" applyAlignment="1">
      <alignment horizontal="center"/>
    </xf>
    <xf numFmtId="0" fontId="14" fillId="8" borderId="0" xfId="0" applyFont="1" applyFill="1" applyAlignment="1">
      <alignment horizontal="center"/>
    </xf>
    <xf numFmtId="0" fontId="15" fillId="0" borderId="11" xfId="0" applyFont="1" applyBorder="1" applyAlignment="1">
      <alignment horizontal="center"/>
    </xf>
    <xf numFmtId="0" fontId="14" fillId="8" borderId="5" xfId="0" applyFont="1" applyFill="1" applyBorder="1" applyAlignment="1">
      <alignment horizontal="center" wrapText="1"/>
    </xf>
    <xf numFmtId="0" fontId="14" fillId="8" borderId="0" xfId="0" applyFont="1" applyFill="1" applyAlignment="1">
      <alignment horizontal="center" wrapText="1"/>
    </xf>
    <xf numFmtId="0" fontId="13" fillId="0" borderId="1" xfId="0" applyFont="1" applyBorder="1" applyAlignment="1">
      <alignment horizontal="left" vertical="top" wrapText="1"/>
    </xf>
    <xf numFmtId="0" fontId="14" fillId="6" borderId="9" xfId="0" applyFont="1" applyFill="1" applyBorder="1" applyAlignment="1">
      <alignment horizontal="center"/>
    </xf>
    <xf numFmtId="0" fontId="14" fillId="6" borderId="0" xfId="0" applyFont="1" applyFill="1" applyAlignment="1">
      <alignment horizontal="center"/>
    </xf>
    <xf numFmtId="0" fontId="14" fillId="6" borderId="5" xfId="0" applyFont="1" applyFill="1" applyBorder="1" applyAlignment="1">
      <alignment horizontal="center" wrapText="1"/>
    </xf>
    <xf numFmtId="0" fontId="14" fillId="6" borderId="0" xfId="0" applyFont="1" applyFill="1" applyAlignment="1">
      <alignment horizontal="center" wrapText="1"/>
    </xf>
    <xf numFmtId="164" fontId="27" fillId="0" borderId="0" xfId="0" applyNumberFormat="1" applyFont="1"/>
    <xf numFmtId="164" fontId="28" fillId="0" borderId="0" xfId="0" applyNumberFormat="1" applyFont="1"/>
  </cellXfs>
  <cellStyles count="11">
    <cellStyle name="20% - Accent1" xfId="3" builtinId="30"/>
    <cellStyle name="40% - Accent1" xfId="5" builtinId="31"/>
    <cellStyle name="60% - Accent1" xfId="6" builtinId="32"/>
    <cellStyle name="Bad" xfId="7" builtinId="27"/>
    <cellStyle name="Comma" xfId="1" builtinId="3"/>
    <cellStyle name="Comma 3 3" xfId="9" xr:uid="{7725F4D7-8D9F-4C76-B100-C294C202C080}"/>
    <cellStyle name="Currency" xfId="2" builtinId="4"/>
    <cellStyle name="Heading 2" xfId="4" builtinId="17"/>
    <cellStyle name="Normal" xfId="0" builtinId="0"/>
    <cellStyle name="Normal 14" xfId="10" xr:uid="{9944A1FF-4CF3-451F-A325-3FD80EAF3E46}"/>
    <cellStyle name="Percent" xfId="8" builtinId="5"/>
  </cellStyles>
  <dxfs count="0"/>
  <tableStyles count="0" defaultTableStyle="TableStyleMedium2" defaultPivotStyle="PivotStyleLight16"/>
  <colors>
    <mruColors>
      <color rgb="FFD8E4BC"/>
      <color rgb="FFDAEEF3"/>
      <color rgb="FFB8CACF"/>
      <color rgb="FFB7BF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Green">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N54"/>
  <sheetViews>
    <sheetView topLeftCell="A28" zoomScale="80" zoomScaleNormal="80" workbookViewId="0">
      <selection sqref="A1:L1"/>
    </sheetView>
  </sheetViews>
  <sheetFormatPr defaultColWidth="8.88671875" defaultRowHeight="14.4" x14ac:dyDescent="0.3"/>
  <cols>
    <col min="1" max="1" width="47.109375" customWidth="1"/>
    <col min="2" max="2" width="19.44140625" style="10" customWidth="1"/>
    <col min="3" max="5" width="19.44140625" customWidth="1"/>
    <col min="6" max="6" width="25.33203125" style="10" customWidth="1"/>
    <col min="7" max="7" width="7.6640625" customWidth="1"/>
    <col min="8" max="11" width="12.44140625" customWidth="1"/>
    <col min="12" max="12" width="15.109375" customWidth="1"/>
  </cols>
  <sheetData>
    <row r="1" spans="1:13" ht="15.6" x14ac:dyDescent="0.3">
      <c r="A1" s="155" t="s">
        <v>139</v>
      </c>
      <c r="B1" s="156"/>
      <c r="C1" s="156"/>
      <c r="D1" s="156"/>
      <c r="E1" s="156"/>
      <c r="F1" s="156"/>
      <c r="G1" s="156"/>
      <c r="H1" s="156"/>
      <c r="I1" s="156"/>
      <c r="J1" s="156"/>
      <c r="K1" s="156"/>
      <c r="L1" s="156"/>
    </row>
    <row r="2" spans="1:13" ht="15.6" x14ac:dyDescent="0.3">
      <c r="A2" s="155" t="s">
        <v>1</v>
      </c>
      <c r="B2" s="156"/>
      <c r="C2" s="156"/>
      <c r="D2" s="156"/>
      <c r="E2" s="156"/>
      <c r="F2" s="156"/>
      <c r="G2" s="156"/>
      <c r="H2" s="156"/>
      <c r="I2" s="156"/>
      <c r="J2" s="156"/>
      <c r="K2" s="156"/>
      <c r="L2" s="156"/>
    </row>
    <row r="3" spans="1:13" ht="15.6" x14ac:dyDescent="0.3">
      <c r="A3" s="155" t="s">
        <v>135</v>
      </c>
      <c r="B3" s="156"/>
      <c r="C3" s="156"/>
      <c r="D3" s="156"/>
      <c r="E3" s="156"/>
      <c r="F3" s="156"/>
      <c r="G3" s="156"/>
      <c r="H3" s="156"/>
      <c r="I3" s="156"/>
      <c r="J3" s="156"/>
      <c r="K3" s="156"/>
      <c r="L3" s="156"/>
    </row>
    <row r="4" spans="1:13" ht="15.6" x14ac:dyDescent="0.3">
      <c r="A4" s="155" t="s">
        <v>136</v>
      </c>
      <c r="B4" s="156"/>
      <c r="C4" s="156"/>
      <c r="D4" s="156"/>
      <c r="E4" s="156"/>
      <c r="F4" s="156"/>
      <c r="G4" s="156"/>
      <c r="H4" s="156"/>
      <c r="I4" s="156"/>
      <c r="J4" s="156"/>
      <c r="K4" s="156"/>
      <c r="L4" s="156"/>
    </row>
    <row r="5" spans="1:13" ht="15.6" x14ac:dyDescent="0.3">
      <c r="A5" s="21"/>
      <c r="B5" s="152" t="s">
        <v>4</v>
      </c>
      <c r="C5" s="153"/>
      <c r="D5" s="153"/>
      <c r="E5" s="153"/>
      <c r="F5" s="154"/>
      <c r="G5" s="22"/>
      <c r="H5" s="152" t="s">
        <v>5</v>
      </c>
      <c r="I5" s="153"/>
      <c r="J5" s="153"/>
      <c r="K5" s="153"/>
      <c r="L5" s="154"/>
    </row>
    <row r="6" spans="1:13" x14ac:dyDescent="0.3">
      <c r="A6" s="22"/>
      <c r="B6" s="23">
        <f>C6-1</f>
        <v>2019</v>
      </c>
      <c r="C6" s="24">
        <f>D6-1</f>
        <v>2020</v>
      </c>
      <c r="D6" s="24">
        <f>E6-1</f>
        <v>2021</v>
      </c>
      <c r="E6" s="24">
        <f>F6-1</f>
        <v>2022</v>
      </c>
      <c r="F6" s="25">
        <v>2023</v>
      </c>
      <c r="G6" s="22"/>
      <c r="H6" s="23">
        <f>B6</f>
        <v>2019</v>
      </c>
      <c r="I6" s="24">
        <f>C6</f>
        <v>2020</v>
      </c>
      <c r="J6" s="24">
        <f>D6</f>
        <v>2021</v>
      </c>
      <c r="K6" s="24">
        <f>E6</f>
        <v>2022</v>
      </c>
      <c r="L6" s="25">
        <f>F6</f>
        <v>2023</v>
      </c>
    </row>
    <row r="7" spans="1:13" ht="17.399999999999999" x14ac:dyDescent="0.35">
      <c r="A7" s="68" t="s">
        <v>6</v>
      </c>
      <c r="B7" s="69"/>
      <c r="C7" s="69"/>
      <c r="D7" s="69"/>
      <c r="E7" s="69"/>
      <c r="F7" s="69"/>
      <c r="G7" s="135"/>
      <c r="H7" s="69"/>
      <c r="I7" s="69"/>
      <c r="J7" s="69"/>
      <c r="K7" s="69"/>
      <c r="L7" s="69"/>
      <c r="M7" s="11"/>
    </row>
    <row r="8" spans="1:13" ht="15.6" x14ac:dyDescent="0.3">
      <c r="A8" s="64" t="s">
        <v>7</v>
      </c>
      <c r="B8" s="65"/>
      <c r="C8" s="65"/>
      <c r="D8" s="65"/>
      <c r="E8" s="65"/>
      <c r="F8" s="65"/>
      <c r="G8" s="44"/>
      <c r="H8" s="65"/>
      <c r="I8" s="65"/>
      <c r="J8" s="65"/>
      <c r="K8" s="65"/>
      <c r="L8" s="65"/>
    </row>
    <row r="9" spans="1:13" x14ac:dyDescent="0.3">
      <c r="A9" s="30" t="s">
        <v>8</v>
      </c>
      <c r="B9" s="31">
        <v>3500353</v>
      </c>
      <c r="C9" s="31">
        <v>5216649</v>
      </c>
      <c r="D9" s="31">
        <v>4880947</v>
      </c>
      <c r="E9" s="31">
        <v>5221513</v>
      </c>
      <c r="F9" s="31">
        <v>4332034</v>
      </c>
      <c r="G9" s="32"/>
      <c r="H9" s="33">
        <f t="shared" ref="H9:I12" si="0">B9/B$21</f>
        <v>9.3407970338755211E-2</v>
      </c>
      <c r="I9" s="33">
        <f t="shared" si="0"/>
        <v>0.12506934179466658</v>
      </c>
      <c r="J9" s="33">
        <f>D9/D$21</f>
        <v>0.10068563100396938</v>
      </c>
      <c r="K9" s="33">
        <f>E9/E$21</f>
        <v>0.10486806529636056</v>
      </c>
      <c r="L9" s="33">
        <f>F9/F$21</f>
        <v>7.869884864778745E-2</v>
      </c>
    </row>
    <row r="10" spans="1:13" ht="15.6" x14ac:dyDescent="0.3">
      <c r="A10" s="34" t="s">
        <v>10</v>
      </c>
      <c r="B10" s="74">
        <v>1847802</v>
      </c>
      <c r="C10" s="74">
        <v>1930211</v>
      </c>
      <c r="D10" s="74">
        <v>2413938</v>
      </c>
      <c r="E10" s="74">
        <v>2961056</v>
      </c>
      <c r="F10" s="74">
        <v>3455306</v>
      </c>
      <c r="G10" s="35"/>
      <c r="H10" s="33">
        <f t="shared" si="0"/>
        <v>4.9309150936460565E-2</v>
      </c>
      <c r="I10" s="33">
        <f t="shared" si="0"/>
        <v>4.6276876074051593E-2</v>
      </c>
      <c r="J10" s="33">
        <f t="shared" ref="J10:L12" si="1">D10/D$21</f>
        <v>4.9795433290806032E-2</v>
      </c>
      <c r="K10" s="33">
        <f t="shared" si="1"/>
        <v>5.946939401552389E-2</v>
      </c>
      <c r="L10" s="33">
        <f t="shared" si="1"/>
        <v>6.2771576567910561E-2</v>
      </c>
    </row>
    <row r="11" spans="1:13" x14ac:dyDescent="0.3">
      <c r="A11" s="30" t="s">
        <v>11</v>
      </c>
      <c r="B11" s="31">
        <v>0</v>
      </c>
      <c r="C11" s="31">
        <v>0</v>
      </c>
      <c r="D11" s="31">
        <v>0</v>
      </c>
      <c r="E11" s="31">
        <v>0</v>
      </c>
      <c r="F11" s="31">
        <v>0</v>
      </c>
      <c r="G11" s="32"/>
      <c r="H11" s="33">
        <f t="shared" si="0"/>
        <v>0</v>
      </c>
      <c r="I11" s="33">
        <f t="shared" si="0"/>
        <v>0</v>
      </c>
      <c r="J11" s="33">
        <f t="shared" si="1"/>
        <v>0</v>
      </c>
      <c r="K11" s="33">
        <f t="shared" si="1"/>
        <v>0</v>
      </c>
      <c r="L11" s="33">
        <f t="shared" si="1"/>
        <v>0</v>
      </c>
    </row>
    <row r="12" spans="1:13" ht="15.6" x14ac:dyDescent="0.3">
      <c r="A12" s="34" t="s">
        <v>12</v>
      </c>
      <c r="B12" s="74">
        <v>18757912</v>
      </c>
      <c r="C12" s="74">
        <v>19709943</v>
      </c>
      <c r="D12" s="74">
        <v>23411220</v>
      </c>
      <c r="E12" s="74">
        <v>22198009</v>
      </c>
      <c r="F12" s="74">
        <v>26521985</v>
      </c>
      <c r="G12" s="35"/>
      <c r="H12" s="33">
        <f t="shared" si="0"/>
        <v>0.50056051138641744</v>
      </c>
      <c r="I12" s="33">
        <f t="shared" si="0"/>
        <v>0.47254657114565229</v>
      </c>
      <c r="J12" s="33">
        <f t="shared" si="1"/>
        <v>0.4829336311729564</v>
      </c>
      <c r="K12" s="33">
        <f t="shared" si="1"/>
        <v>0.44582140411432458</v>
      </c>
      <c r="L12" s="33">
        <f t="shared" si="1"/>
        <v>0.48181747496762234</v>
      </c>
    </row>
    <row r="13" spans="1:13" x14ac:dyDescent="0.3">
      <c r="A13" s="55" t="s">
        <v>13</v>
      </c>
      <c r="B13" s="56">
        <f>SUM(B9:B12)</f>
        <v>24106067</v>
      </c>
      <c r="C13" s="56">
        <f>SUM(C9:C12)</f>
        <v>26856803</v>
      </c>
      <c r="D13" s="56">
        <f>SUM(D9:D12)</f>
        <v>30706105</v>
      </c>
      <c r="E13" s="56">
        <f>SUM(E9:E12)</f>
        <v>30380578</v>
      </c>
      <c r="F13" s="56">
        <f>SUM(F9:F12)</f>
        <v>34309325</v>
      </c>
      <c r="G13" s="57"/>
      <c r="H13" s="58">
        <f>SUM(H9:H12)</f>
        <v>0.64327763266163318</v>
      </c>
      <c r="I13" s="58">
        <f>SUM(I9:I12)</f>
        <v>0.64389278901437041</v>
      </c>
      <c r="J13" s="58">
        <f>SUM(J9:J12)</f>
        <v>0.63341469546773177</v>
      </c>
      <c r="K13" s="58">
        <f>SUM(K9:K12)</f>
        <v>0.61015886342620906</v>
      </c>
      <c r="L13" s="58">
        <f>SUM(L9:L12)</f>
        <v>0.62328790018332036</v>
      </c>
    </row>
    <row r="14" spans="1:13" ht="15" customHeight="1" x14ac:dyDescent="0.3">
      <c r="A14" s="22"/>
      <c r="B14" s="39"/>
      <c r="C14" s="39"/>
      <c r="D14" s="39"/>
      <c r="E14" s="39"/>
      <c r="F14" s="39"/>
      <c r="G14" s="39"/>
      <c r="H14" s="39"/>
      <c r="I14" s="39"/>
      <c r="J14" s="39"/>
      <c r="K14" s="39"/>
      <c r="L14" s="39"/>
    </row>
    <row r="15" spans="1:13" ht="15.6" x14ac:dyDescent="0.3">
      <c r="A15" s="64" t="s">
        <v>14</v>
      </c>
      <c r="B15" s="66"/>
      <c r="C15" s="66"/>
      <c r="D15" s="66"/>
      <c r="E15" s="66"/>
      <c r="F15" s="66"/>
      <c r="G15" s="39"/>
      <c r="H15" s="66"/>
      <c r="I15" s="66"/>
      <c r="J15" s="66"/>
      <c r="K15" s="66"/>
      <c r="L15" s="66"/>
    </row>
    <row r="16" spans="1:13" x14ac:dyDescent="0.3">
      <c r="A16" s="30" t="s">
        <v>15</v>
      </c>
      <c r="B16" s="31">
        <v>0</v>
      </c>
      <c r="C16" s="31">
        <v>0</v>
      </c>
      <c r="D16" s="31">
        <v>0</v>
      </c>
      <c r="E16" s="31">
        <v>0</v>
      </c>
      <c r="F16" s="31">
        <v>0</v>
      </c>
      <c r="G16" s="32"/>
      <c r="H16" s="33">
        <f t="shared" ref="H16:I18" si="2">B16/B$21</f>
        <v>0</v>
      </c>
      <c r="I16" s="33">
        <f t="shared" si="2"/>
        <v>0</v>
      </c>
      <c r="J16" s="33">
        <f t="shared" ref="J16:L18" si="3">D16/D$21</f>
        <v>0</v>
      </c>
      <c r="K16" s="33">
        <f t="shared" si="3"/>
        <v>0</v>
      </c>
      <c r="L16" s="33">
        <f t="shared" si="3"/>
        <v>0</v>
      </c>
    </row>
    <row r="17" spans="1:14" ht="15.6" x14ac:dyDescent="0.3">
      <c r="A17" s="34" t="s">
        <v>16</v>
      </c>
      <c r="B17" s="74">
        <v>1738474</v>
      </c>
      <c r="C17" s="74">
        <v>1782718</v>
      </c>
      <c r="D17" s="74">
        <v>1822486</v>
      </c>
      <c r="E17" s="74">
        <v>1747464</v>
      </c>
      <c r="F17" s="74">
        <v>1588684</v>
      </c>
      <c r="G17" s="41"/>
      <c r="H17" s="33">
        <f t="shared" si="2"/>
        <v>4.6391700444697183E-2</v>
      </c>
      <c r="I17" s="33">
        <f t="shared" si="2"/>
        <v>4.2740726252715952E-2</v>
      </c>
      <c r="J17" s="33">
        <f t="shared" si="3"/>
        <v>3.7594784968142482E-2</v>
      </c>
      <c r="K17" s="33">
        <f t="shared" si="3"/>
        <v>3.5095798642086957E-2</v>
      </c>
      <c r="L17" s="33">
        <f t="shared" si="3"/>
        <v>2.8861177374222259E-2</v>
      </c>
    </row>
    <row r="18" spans="1:14" x14ac:dyDescent="0.3">
      <c r="A18" s="30" t="s">
        <v>17</v>
      </c>
      <c r="B18" s="31">
        <v>11629274</v>
      </c>
      <c r="C18" s="31">
        <v>13070533</v>
      </c>
      <c r="D18" s="31">
        <v>15948505</v>
      </c>
      <c r="E18" s="31">
        <v>17663217</v>
      </c>
      <c r="F18" s="31">
        <v>19147701</v>
      </c>
      <c r="G18" s="32"/>
      <c r="H18" s="33">
        <f t="shared" si="2"/>
        <v>0.31033066689366962</v>
      </c>
      <c r="I18" s="33">
        <f t="shared" si="2"/>
        <v>0.31336648473291356</v>
      </c>
      <c r="J18" s="33">
        <f t="shared" si="3"/>
        <v>0.32899051956412573</v>
      </c>
      <c r="K18" s="33">
        <f t="shared" si="3"/>
        <v>0.35474533793170404</v>
      </c>
      <c r="L18" s="33">
        <f t="shared" si="3"/>
        <v>0.34785092244245736</v>
      </c>
    </row>
    <row r="19" spans="1:14" x14ac:dyDescent="0.3">
      <c r="A19" s="55" t="s">
        <v>18</v>
      </c>
      <c r="B19" s="59">
        <f>SUM(B16:B18)</f>
        <v>13367748</v>
      </c>
      <c r="C19" s="59">
        <f>SUM(C16:C18)</f>
        <v>14853251</v>
      </c>
      <c r="D19" s="59">
        <f>SUM(D16:D18)</f>
        <v>17770991</v>
      </c>
      <c r="E19" s="59">
        <f>SUM(E16:E18)</f>
        <v>19410681</v>
      </c>
      <c r="F19" s="59">
        <f>SUM(F16:F18)</f>
        <v>20736385</v>
      </c>
      <c r="G19" s="57"/>
      <c r="H19" s="60">
        <f>SUM(H16:H18)</f>
        <v>0.35672236733836682</v>
      </c>
      <c r="I19" s="60">
        <f>SUM(I16:I18)</f>
        <v>0.35610721098562953</v>
      </c>
      <c r="J19" s="60">
        <f>SUM(J16:J18)</f>
        <v>0.36658530453226823</v>
      </c>
      <c r="K19" s="60">
        <f>SUM(K16:K18)</f>
        <v>0.38984113657379099</v>
      </c>
      <c r="L19" s="60">
        <f>SUM(L16:L18)</f>
        <v>0.37671209981667964</v>
      </c>
    </row>
    <row r="20" spans="1:14" x14ac:dyDescent="0.3">
      <c r="A20" s="22"/>
      <c r="B20" s="44"/>
      <c r="C20" s="44"/>
      <c r="D20" s="44"/>
      <c r="E20" s="44"/>
      <c r="F20" s="44"/>
      <c r="G20" s="44"/>
      <c r="H20" s="44"/>
      <c r="I20" s="44"/>
      <c r="J20" s="44"/>
      <c r="K20" s="44"/>
      <c r="L20" s="44"/>
    </row>
    <row r="21" spans="1:14" ht="17.399999999999999" x14ac:dyDescent="0.35">
      <c r="A21" s="70" t="s">
        <v>19</v>
      </c>
      <c r="B21" s="71">
        <f>B13+B19</f>
        <v>37473815</v>
      </c>
      <c r="C21" s="71">
        <f>C13+C19</f>
        <v>41710054</v>
      </c>
      <c r="D21" s="71">
        <f>D13+D19</f>
        <v>48477096</v>
      </c>
      <c r="E21" s="71">
        <f>E13+E19</f>
        <v>49791259</v>
      </c>
      <c r="F21" s="71">
        <f>F13+F19</f>
        <v>55045710</v>
      </c>
      <c r="G21" s="134"/>
      <c r="H21" s="72">
        <f>H13+H19</f>
        <v>1</v>
      </c>
      <c r="I21" s="72">
        <f>I13+I19</f>
        <v>1</v>
      </c>
      <c r="J21" s="72">
        <f>J13+J19</f>
        <v>1</v>
      </c>
      <c r="K21" s="72">
        <f>K13+K19</f>
        <v>1</v>
      </c>
      <c r="L21" s="72">
        <f>L13+L19</f>
        <v>1</v>
      </c>
    </row>
    <row r="22" spans="1:14" x14ac:dyDescent="0.3">
      <c r="A22" s="22"/>
      <c r="B22" s="44"/>
      <c r="C22" s="44"/>
      <c r="D22" s="44"/>
      <c r="E22" s="44"/>
      <c r="F22" s="44"/>
      <c r="G22" s="44"/>
      <c r="H22" s="44"/>
      <c r="I22" s="44"/>
      <c r="J22" s="44"/>
      <c r="K22" s="44"/>
      <c r="L22" s="44"/>
    </row>
    <row r="23" spans="1:14" ht="17.399999999999999" x14ac:dyDescent="0.35">
      <c r="A23" s="68" t="s">
        <v>20</v>
      </c>
      <c r="B23" s="69"/>
      <c r="C23" s="69"/>
      <c r="D23" s="69"/>
      <c r="E23" s="69"/>
      <c r="F23" s="69"/>
      <c r="G23" s="135"/>
      <c r="H23" s="69"/>
      <c r="I23" s="69"/>
      <c r="J23" s="69"/>
      <c r="K23" s="69"/>
      <c r="L23" s="69"/>
    </row>
    <row r="24" spans="1:14" ht="15.6" x14ac:dyDescent="0.3">
      <c r="A24" s="64" t="s">
        <v>21</v>
      </c>
      <c r="B24" s="66"/>
      <c r="C24" s="66"/>
      <c r="D24" s="66"/>
      <c r="E24" s="66"/>
      <c r="F24" s="66"/>
      <c r="G24" s="39" t="s">
        <v>22</v>
      </c>
      <c r="H24" s="66"/>
      <c r="I24" s="66"/>
      <c r="J24" s="66"/>
      <c r="K24" s="66"/>
      <c r="L24" s="66"/>
    </row>
    <row r="25" spans="1:14" x14ac:dyDescent="0.3">
      <c r="A25" s="45" t="s">
        <v>23</v>
      </c>
      <c r="B25" s="31">
        <v>406720</v>
      </c>
      <c r="C25" s="31">
        <v>493470</v>
      </c>
      <c r="D25" s="31">
        <v>616665</v>
      </c>
      <c r="E25" s="31">
        <v>669742</v>
      </c>
      <c r="F25" s="31">
        <v>1037722</v>
      </c>
      <c r="G25" s="32"/>
      <c r="H25" s="33">
        <f t="shared" ref="H25:I27" si="4">B25/B$21</f>
        <v>1.0853445265714206E-2</v>
      </c>
      <c r="I25" s="33">
        <f t="shared" si="4"/>
        <v>1.1830960468188318E-2</v>
      </c>
      <c r="J25" s="33">
        <f t="shared" ref="J25:L27" si="5">D25/D$21</f>
        <v>1.2720749609258772E-2</v>
      </c>
      <c r="K25" s="33">
        <f t="shared" si="5"/>
        <v>1.3450995484970564E-2</v>
      </c>
      <c r="L25" s="33">
        <f t="shared" si="5"/>
        <v>1.8852004997301334E-2</v>
      </c>
    </row>
    <row r="26" spans="1:14" x14ac:dyDescent="0.3">
      <c r="A26" s="34" t="s">
        <v>24</v>
      </c>
      <c r="B26" s="74">
        <v>14728676</v>
      </c>
      <c r="C26" s="74">
        <v>16222376</v>
      </c>
      <c r="D26" s="74">
        <v>18178894</v>
      </c>
      <c r="E26" s="74">
        <v>20947898</v>
      </c>
      <c r="F26" s="74">
        <v>23483321</v>
      </c>
      <c r="G26" s="32"/>
      <c r="H26" s="33">
        <f t="shared" si="4"/>
        <v>0.39303913946311581</v>
      </c>
      <c r="I26" s="33">
        <f t="shared" si="4"/>
        <v>0.38893203063223081</v>
      </c>
      <c r="J26" s="33">
        <f t="shared" si="5"/>
        <v>0.37499964931892787</v>
      </c>
      <c r="K26" s="33">
        <f t="shared" si="5"/>
        <v>0.42071436675260609</v>
      </c>
      <c r="L26" s="33">
        <f t="shared" si="5"/>
        <v>0.4266149169481146</v>
      </c>
    </row>
    <row r="27" spans="1:14" x14ac:dyDescent="0.3">
      <c r="A27" s="45" t="s">
        <v>25</v>
      </c>
      <c r="B27" s="31">
        <v>5043456</v>
      </c>
      <c r="C27" s="31">
        <v>5103231</v>
      </c>
      <c r="D27" s="31">
        <v>6286599</v>
      </c>
      <c r="E27" s="31">
        <v>6871469</v>
      </c>
      <c r="F27" s="31">
        <v>7291480</v>
      </c>
      <c r="G27" s="32"/>
      <c r="H27" s="33">
        <f t="shared" si="4"/>
        <v>0.13458613701327179</v>
      </c>
      <c r="I27" s="33">
        <f t="shared" si="4"/>
        <v>0.12235014128727813</v>
      </c>
      <c r="J27" s="33">
        <f t="shared" si="5"/>
        <v>0.12968183985278325</v>
      </c>
      <c r="K27" s="33">
        <f t="shared" si="5"/>
        <v>0.13800552823940443</v>
      </c>
      <c r="L27" s="33">
        <f t="shared" si="5"/>
        <v>0.1324622754434451</v>
      </c>
    </row>
    <row r="28" spans="1:14" x14ac:dyDescent="0.3">
      <c r="A28" s="55" t="s">
        <v>26</v>
      </c>
      <c r="B28" s="56">
        <f>SUM(B25:B27)</f>
        <v>20178852</v>
      </c>
      <c r="C28" s="56">
        <f>SUM(C25:C27)</f>
        <v>21819077</v>
      </c>
      <c r="D28" s="56">
        <f>SUM(D25:D27)</f>
        <v>25082158</v>
      </c>
      <c r="E28" s="56">
        <f>SUM(E25:E27)</f>
        <v>28489109</v>
      </c>
      <c r="F28" s="56">
        <f>SUM(F25:F27)</f>
        <v>31812523</v>
      </c>
      <c r="G28" s="57"/>
      <c r="H28" s="58">
        <f>SUM(H25:H27)</f>
        <v>0.53847872174210176</v>
      </c>
      <c r="I28" s="58">
        <f>SUM(I25:I27)</f>
        <v>0.5231131323876973</v>
      </c>
      <c r="J28" s="58">
        <f>SUM(J25:J27)</f>
        <v>0.51740223878096991</v>
      </c>
      <c r="K28" s="58">
        <f>SUM(K25:K27)</f>
        <v>0.57217089047698111</v>
      </c>
      <c r="L28" s="58">
        <f>SUM(L25:L27)</f>
        <v>0.57792919738886106</v>
      </c>
    </row>
    <row r="29" spans="1:14" ht="15.6" x14ac:dyDescent="0.3">
      <c r="A29" s="46"/>
      <c r="B29" s="47"/>
      <c r="C29" s="47"/>
      <c r="D29" s="47"/>
      <c r="E29" s="47"/>
      <c r="F29" s="47"/>
      <c r="G29" s="47"/>
      <c r="H29" s="47"/>
      <c r="I29" s="47"/>
      <c r="J29" s="47"/>
      <c r="K29" s="47"/>
      <c r="L29" s="47"/>
    </row>
    <row r="30" spans="1:14" ht="15.6" x14ac:dyDescent="0.3">
      <c r="A30" s="64" t="s">
        <v>27</v>
      </c>
      <c r="B30" s="66"/>
      <c r="C30" s="66"/>
      <c r="D30" s="66"/>
      <c r="E30" s="66"/>
      <c r="F30" s="66"/>
      <c r="G30" s="39"/>
      <c r="H30" s="66"/>
      <c r="I30" s="66"/>
      <c r="J30" s="66"/>
      <c r="K30" s="66"/>
      <c r="L30" s="66"/>
      <c r="M30" s="2"/>
      <c r="N30" s="8"/>
    </row>
    <row r="31" spans="1:14" ht="15.6" x14ac:dyDescent="0.3">
      <c r="A31" s="45" t="s">
        <v>28</v>
      </c>
      <c r="B31" s="31">
        <v>3534183</v>
      </c>
      <c r="C31" s="31">
        <v>3884023</v>
      </c>
      <c r="D31" s="31">
        <v>4361266</v>
      </c>
      <c r="E31" s="31">
        <v>4103629</v>
      </c>
      <c r="F31" s="31">
        <v>3779796</v>
      </c>
      <c r="G31" s="32"/>
      <c r="H31" s="33">
        <f>B31/B$21</f>
        <v>9.4310734041890318E-2</v>
      </c>
      <c r="I31" s="33">
        <f>C31/C$21</f>
        <v>9.3119586946590865E-2</v>
      </c>
      <c r="J31" s="33">
        <f t="shared" ref="J31:L32" si="6">D31/D$21</f>
        <v>8.9965496283028176E-2</v>
      </c>
      <c r="K31" s="33">
        <f t="shared" si="6"/>
        <v>8.2416654698367842E-2</v>
      </c>
      <c r="L31" s="33">
        <f t="shared" si="6"/>
        <v>6.8666495536164399E-2</v>
      </c>
      <c r="M31" s="5"/>
      <c r="N31" s="8"/>
    </row>
    <row r="32" spans="1:14" ht="15.6" x14ac:dyDescent="0.3">
      <c r="A32" s="34" t="s">
        <v>29</v>
      </c>
      <c r="B32" s="74">
        <v>2504802</v>
      </c>
      <c r="C32" s="74">
        <v>2946631</v>
      </c>
      <c r="D32" s="74">
        <v>3832084</v>
      </c>
      <c r="E32" s="74">
        <v>3461482</v>
      </c>
      <c r="F32" s="74">
        <v>3927498</v>
      </c>
      <c r="G32" s="35"/>
      <c r="H32" s="33">
        <f>B32/B$21</f>
        <v>6.6841393116766998E-2</v>
      </c>
      <c r="I32" s="33">
        <f>C32/C$21</f>
        <v>7.0645581039046362E-2</v>
      </c>
      <c r="J32" s="33">
        <f t="shared" si="6"/>
        <v>7.9049372099351825E-2</v>
      </c>
      <c r="K32" s="33">
        <f t="shared" si="6"/>
        <v>6.9519872956014223E-2</v>
      </c>
      <c r="L32" s="33">
        <f t="shared" si="6"/>
        <v>7.134975641153507E-2</v>
      </c>
      <c r="M32" s="6"/>
      <c r="N32" s="8"/>
    </row>
    <row r="33" spans="1:14" ht="15.6" x14ac:dyDescent="0.3">
      <c r="A33" s="55" t="s">
        <v>30</v>
      </c>
      <c r="B33" s="56">
        <f>SUM(B31:B32)</f>
        <v>6038985</v>
      </c>
      <c r="C33" s="56">
        <f>SUM(C31:C32)</f>
        <v>6830654</v>
      </c>
      <c r="D33" s="56">
        <f>SUM(D31:D32)</f>
        <v>8193350</v>
      </c>
      <c r="E33" s="56">
        <f>SUM(E31:E32)</f>
        <v>7565111</v>
      </c>
      <c r="F33" s="56">
        <f>SUM(F31:F32)</f>
        <v>7707294</v>
      </c>
      <c r="G33" s="57"/>
      <c r="H33" s="58">
        <f>SUM(H31:H32)</f>
        <v>0.16115212715865732</v>
      </c>
      <c r="I33" s="58">
        <f>SUM(I31:I32)</f>
        <v>0.16376516798563723</v>
      </c>
      <c r="J33" s="58">
        <f>SUM(J31:J32)</f>
        <v>0.16901486838238</v>
      </c>
      <c r="K33" s="58">
        <f>SUM(K31:K32)</f>
        <v>0.15193652765438206</v>
      </c>
      <c r="L33" s="58">
        <f>SUM(L31:L32)</f>
        <v>0.14001625194769945</v>
      </c>
      <c r="M33" s="7"/>
      <c r="N33" s="8"/>
    </row>
    <row r="34" spans="1:14" ht="15.6" x14ac:dyDescent="0.3">
      <c r="A34" s="22"/>
      <c r="B34" s="53"/>
      <c r="C34" s="53"/>
      <c r="D34" s="53"/>
      <c r="E34" s="53"/>
      <c r="F34" s="53"/>
      <c r="G34" s="44"/>
      <c r="H34" s="44"/>
      <c r="I34" s="44"/>
      <c r="J34" s="44"/>
      <c r="K34" s="44"/>
      <c r="L34" s="44"/>
      <c r="M34" s="2"/>
      <c r="N34" s="8"/>
    </row>
    <row r="35" spans="1:14" x14ac:dyDescent="0.3">
      <c r="A35" s="55" t="s">
        <v>31</v>
      </c>
      <c r="B35" s="59">
        <f>B28+B33</f>
        <v>26217837</v>
      </c>
      <c r="C35" s="59">
        <f>C28+C33</f>
        <v>28649731</v>
      </c>
      <c r="D35" s="59">
        <f>D28+D33</f>
        <v>33275508</v>
      </c>
      <c r="E35" s="59">
        <f>E28+E33</f>
        <v>36054220</v>
      </c>
      <c r="F35" s="59">
        <f>F28+F33</f>
        <v>39519817</v>
      </c>
      <c r="G35" s="57"/>
      <c r="H35" s="60">
        <f>H28+H33</f>
        <v>0.69963084890075911</v>
      </c>
      <c r="I35" s="60">
        <f>I28+I33</f>
        <v>0.68687830037333453</v>
      </c>
      <c r="J35" s="60">
        <f>J28+J33</f>
        <v>0.68641710716334992</v>
      </c>
      <c r="K35" s="60">
        <f>K28+K33</f>
        <v>0.72410741813136315</v>
      </c>
      <c r="L35" s="60">
        <f>L28+L33</f>
        <v>0.71794544933656046</v>
      </c>
    </row>
    <row r="36" spans="1:14" ht="15.6" x14ac:dyDescent="0.3">
      <c r="A36" s="50"/>
      <c r="B36" s="51"/>
      <c r="C36" s="51"/>
      <c r="D36" s="51"/>
      <c r="E36" s="51"/>
      <c r="F36" s="51"/>
      <c r="G36" s="52"/>
      <c r="H36" s="52"/>
      <c r="I36" s="52"/>
      <c r="J36" s="52"/>
      <c r="K36" s="52"/>
      <c r="L36" s="52"/>
      <c r="M36" s="2"/>
    </row>
    <row r="37" spans="1:14" ht="15.6" x14ac:dyDescent="0.3">
      <c r="A37" s="64" t="s">
        <v>32</v>
      </c>
      <c r="B37" s="73"/>
      <c r="C37" s="73"/>
      <c r="D37" s="73"/>
      <c r="E37" s="73"/>
      <c r="F37" s="73"/>
      <c r="G37" s="39"/>
      <c r="H37" s="66"/>
      <c r="I37" s="66"/>
      <c r="J37" s="66"/>
      <c r="K37" s="66"/>
      <c r="L37" s="66"/>
      <c r="M37" s="3"/>
    </row>
    <row r="38" spans="1:14" x14ac:dyDescent="0.3">
      <c r="A38" s="30" t="s">
        <v>137</v>
      </c>
      <c r="B38" s="31">
        <v>3404919</v>
      </c>
      <c r="C38" s="31">
        <v>4020231</v>
      </c>
      <c r="D38" s="31">
        <v>4032970</v>
      </c>
      <c r="E38" s="31">
        <v>4085784</v>
      </c>
      <c r="F38" s="31">
        <v>4109037</v>
      </c>
      <c r="G38" s="32"/>
      <c r="H38" s="33">
        <f t="shared" ref="H38:I41" si="7">B38/B$21</f>
        <v>9.0861285406890119E-2</v>
      </c>
      <c r="I38" s="33">
        <f t="shared" si="7"/>
        <v>9.6385178499169527E-2</v>
      </c>
      <c r="J38" s="33">
        <f t="shared" ref="J38:L41" si="8">D38/D$21</f>
        <v>8.3193308444053662E-2</v>
      </c>
      <c r="K38" s="33">
        <f t="shared" si="8"/>
        <v>8.2058258458578046E-2</v>
      </c>
      <c r="L38" s="33">
        <f t="shared" si="8"/>
        <v>7.4647724591071676E-2</v>
      </c>
      <c r="N38" s="1"/>
    </row>
    <row r="39" spans="1:14" ht="15.6" x14ac:dyDescent="0.3">
      <c r="A39" s="34" t="s">
        <v>34</v>
      </c>
      <c r="B39" s="74">
        <v>185111</v>
      </c>
      <c r="C39" s="74">
        <v>260534</v>
      </c>
      <c r="D39" s="74">
        <v>237617</v>
      </c>
      <c r="E39" s="74">
        <v>585945</v>
      </c>
      <c r="F39" s="74">
        <v>541965</v>
      </c>
      <c r="G39" s="35"/>
      <c r="H39" s="33">
        <f t="shared" si="7"/>
        <v>4.9397425909264913E-3</v>
      </c>
      <c r="I39" s="33">
        <f t="shared" si="7"/>
        <v>6.2463117405697913E-3</v>
      </c>
      <c r="J39" s="33">
        <f t="shared" si="8"/>
        <v>4.9016343718278838E-3</v>
      </c>
      <c r="K39" s="33">
        <f t="shared" si="8"/>
        <v>1.1768029404518572E-2</v>
      </c>
      <c r="L39" s="33">
        <f t="shared" si="8"/>
        <v>9.8457263972069765E-3</v>
      </c>
    </row>
    <row r="40" spans="1:14" x14ac:dyDescent="0.3">
      <c r="A40" s="30" t="s">
        <v>35</v>
      </c>
      <c r="B40" s="31">
        <v>7457176</v>
      </c>
      <c r="C40" s="31">
        <v>8195182</v>
      </c>
      <c r="D40" s="31">
        <v>10446763</v>
      </c>
      <c r="E40" s="31">
        <v>9832804</v>
      </c>
      <c r="F40" s="31">
        <v>11353101</v>
      </c>
      <c r="G40" s="32"/>
      <c r="H40" s="33">
        <f t="shared" si="7"/>
        <v>0.19899697962430565</v>
      </c>
      <c r="I40" s="33">
        <f t="shared" si="7"/>
        <v>0.19647977439683967</v>
      </c>
      <c r="J40" s="33">
        <f t="shared" si="8"/>
        <v>0.21549894407866346</v>
      </c>
      <c r="K40" s="33">
        <f t="shared" si="8"/>
        <v>0.19748052564808613</v>
      </c>
      <c r="L40" s="33">
        <f t="shared" si="8"/>
        <v>0.20624860683966106</v>
      </c>
    </row>
    <row r="41" spans="1:14" ht="15.6" x14ac:dyDescent="0.3">
      <c r="A41" s="34" t="s">
        <v>36</v>
      </c>
      <c r="B41" s="74">
        <v>208772</v>
      </c>
      <c r="C41" s="74">
        <v>584376</v>
      </c>
      <c r="D41" s="74">
        <v>484238</v>
      </c>
      <c r="E41" s="74">
        <v>-767494</v>
      </c>
      <c r="F41" s="74">
        <v>-478210</v>
      </c>
      <c r="G41" s="35"/>
      <c r="H41" s="33">
        <f t="shared" si="7"/>
        <v>5.571143477118623E-3</v>
      </c>
      <c r="I41" s="33">
        <f t="shared" si="7"/>
        <v>1.4010434990086564E-2</v>
      </c>
      <c r="J41" s="33">
        <f t="shared" si="8"/>
        <v>9.9890059421051131E-3</v>
      </c>
      <c r="K41" s="33">
        <f t="shared" si="8"/>
        <v>-1.5414231642545934E-2</v>
      </c>
      <c r="L41" s="33">
        <f t="shared" si="8"/>
        <v>-8.6875071645001953E-3</v>
      </c>
    </row>
    <row r="42" spans="1:14" x14ac:dyDescent="0.3">
      <c r="A42" s="55" t="s">
        <v>37</v>
      </c>
      <c r="B42" s="59">
        <f>SUM(B38:B41)</f>
        <v>11255978</v>
      </c>
      <c r="C42" s="59">
        <f>SUM(C38:C41)</f>
        <v>13060323</v>
      </c>
      <c r="D42" s="59">
        <f>SUM(D38:D41)</f>
        <v>15201588</v>
      </c>
      <c r="E42" s="59">
        <f>SUM(E38:E41)</f>
        <v>13737039</v>
      </c>
      <c r="F42" s="59">
        <f>SUM(F38:F41)</f>
        <v>15525893</v>
      </c>
      <c r="G42" s="57"/>
      <c r="H42" s="60">
        <f>SUM(H38:H41)</f>
        <v>0.30036915109924089</v>
      </c>
      <c r="I42" s="60">
        <f>SUM(I38:I41)</f>
        <v>0.31312169962666558</v>
      </c>
      <c r="J42" s="60">
        <f>SUM(J38:J41)</f>
        <v>0.31358289283665014</v>
      </c>
      <c r="K42" s="60">
        <f>SUM(K38:K41)</f>
        <v>0.27589258186863685</v>
      </c>
      <c r="L42" s="60">
        <f>SUM(L38:L41)</f>
        <v>0.28205455066343954</v>
      </c>
    </row>
    <row r="43" spans="1:14" ht="15.6" x14ac:dyDescent="0.3">
      <c r="A43" s="48"/>
      <c r="B43" s="39"/>
      <c r="C43" s="39"/>
      <c r="D43" s="39"/>
      <c r="E43" s="39"/>
      <c r="F43" s="39"/>
      <c r="G43" s="39"/>
      <c r="H43" s="22"/>
      <c r="I43" s="22"/>
      <c r="J43" s="22"/>
      <c r="K43" s="22"/>
      <c r="L43" s="22"/>
    </row>
    <row r="44" spans="1:14" x14ac:dyDescent="0.3">
      <c r="A44" s="22"/>
      <c r="B44" s="44"/>
      <c r="C44" s="44"/>
      <c r="D44" s="44"/>
      <c r="E44" s="44"/>
      <c r="F44" s="44"/>
      <c r="G44" s="44"/>
      <c r="H44" s="22"/>
      <c r="I44" s="22"/>
      <c r="J44" s="22"/>
      <c r="K44" s="22"/>
      <c r="L44" s="22"/>
    </row>
    <row r="45" spans="1:14" ht="17.399999999999999" x14ac:dyDescent="0.35">
      <c r="A45" s="70" t="s">
        <v>38</v>
      </c>
      <c r="B45" s="71">
        <f>B35+B42</f>
        <v>37473815</v>
      </c>
      <c r="C45" s="71">
        <f>C35+C42</f>
        <v>41710054</v>
      </c>
      <c r="D45" s="71">
        <f>D35+D42</f>
        <v>48477096</v>
      </c>
      <c r="E45" s="71">
        <f>E35+E42</f>
        <v>49791259</v>
      </c>
      <c r="F45" s="71">
        <f>F35+F42</f>
        <v>55045710</v>
      </c>
      <c r="G45" s="22"/>
      <c r="H45" s="72">
        <f>H35+H42</f>
        <v>1</v>
      </c>
      <c r="I45" s="72">
        <f>I35+I42</f>
        <v>1</v>
      </c>
      <c r="J45" s="72">
        <f>J35+J42</f>
        <v>1</v>
      </c>
      <c r="K45" s="72">
        <f>K35+K42</f>
        <v>1</v>
      </c>
      <c r="L45" s="72">
        <f>L35+L42</f>
        <v>1</v>
      </c>
    </row>
    <row r="46" spans="1:14" ht="15.6" x14ac:dyDescent="0.3">
      <c r="A46" s="48"/>
      <c r="B46" s="39"/>
      <c r="C46" s="22"/>
      <c r="D46" s="22"/>
      <c r="E46" s="22"/>
      <c r="F46" s="44"/>
      <c r="G46" s="22"/>
      <c r="H46" s="22"/>
      <c r="I46" s="22"/>
      <c r="J46" s="22"/>
      <c r="K46" s="22"/>
      <c r="L46" s="22"/>
    </row>
    <row r="47" spans="1:14" ht="28.8" x14ac:dyDescent="0.3">
      <c r="A47" s="75" t="s">
        <v>39</v>
      </c>
      <c r="B47" s="44">
        <f>+B21-B45</f>
        <v>0</v>
      </c>
      <c r="C47" s="44">
        <f>+C21-C45</f>
        <v>0</v>
      </c>
      <c r="D47" s="44">
        <f>+D21-D45</f>
        <v>0</v>
      </c>
      <c r="E47" s="44">
        <f>+E21-E45</f>
        <v>0</v>
      </c>
      <c r="F47" s="44">
        <f>+F21-F45</f>
        <v>0</v>
      </c>
      <c r="G47" s="22"/>
      <c r="H47" s="22"/>
      <c r="I47" s="22"/>
      <c r="J47" s="22"/>
      <c r="K47" s="22"/>
      <c r="L47" s="22"/>
    </row>
    <row r="50" spans="2:4" x14ac:dyDescent="0.3">
      <c r="B50" s="16"/>
      <c r="C50" s="16"/>
      <c r="D50" s="16"/>
    </row>
    <row r="51" spans="2:4" x14ac:dyDescent="0.3">
      <c r="B51" s="16"/>
      <c r="C51" s="16"/>
      <c r="D51" s="16"/>
    </row>
    <row r="52" spans="2:4" x14ac:dyDescent="0.3">
      <c r="B52" s="16"/>
      <c r="C52" s="16"/>
      <c r="D52" s="16"/>
    </row>
    <row r="53" spans="2:4" x14ac:dyDescent="0.3">
      <c r="B53" s="16"/>
      <c r="C53" s="16"/>
      <c r="D53" s="16"/>
    </row>
    <row r="54" spans="2:4" x14ac:dyDescent="0.3">
      <c r="B54" s="16"/>
      <c r="C54" s="16"/>
      <c r="D54" s="16"/>
    </row>
  </sheetData>
  <mergeCells count="6">
    <mergeCell ref="B5:F5"/>
    <mergeCell ref="H5:L5"/>
    <mergeCell ref="A1:L1"/>
    <mergeCell ref="A2:L2"/>
    <mergeCell ref="A4:L4"/>
    <mergeCell ref="A3:L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AD0C8-5CAB-44A6-8FC9-119232FBA7D8}">
  <sheetPr>
    <tabColor rgb="FF00B050"/>
  </sheetPr>
  <dimension ref="A1:C23"/>
  <sheetViews>
    <sheetView topLeftCell="A10" workbookViewId="0">
      <selection activeCell="A28" sqref="A28"/>
    </sheetView>
  </sheetViews>
  <sheetFormatPr defaultColWidth="8.88671875" defaultRowHeight="14.4" x14ac:dyDescent="0.3"/>
  <cols>
    <col min="1" max="1" width="49" customWidth="1"/>
    <col min="2" max="2" width="12.6640625" customWidth="1"/>
    <col min="3" max="3" width="30.109375" customWidth="1"/>
  </cols>
  <sheetData>
    <row r="1" spans="1:3" ht="15.6" x14ac:dyDescent="0.3">
      <c r="A1" s="161" t="str">
        <f>'Prospective Analysis'!A1</f>
        <v>Markel Group Inc.</v>
      </c>
      <c r="B1" s="162"/>
      <c r="C1" s="162"/>
    </row>
    <row r="2" spans="1:3" ht="15.6" x14ac:dyDescent="0.3">
      <c r="A2" s="163" t="s">
        <v>121</v>
      </c>
      <c r="B2" s="164"/>
      <c r="C2" s="164"/>
    </row>
    <row r="3" spans="1:3" ht="15.75" customHeight="1" x14ac:dyDescent="0.3">
      <c r="A3" s="163" t="s">
        <v>122</v>
      </c>
      <c r="B3" s="164"/>
      <c r="C3" s="164"/>
    </row>
    <row r="4" spans="1:3" x14ac:dyDescent="0.3">
      <c r="A4" s="22"/>
      <c r="B4" s="22"/>
      <c r="C4" s="89"/>
    </row>
    <row r="5" spans="1:3" ht="52.2" x14ac:dyDescent="0.35">
      <c r="A5" s="119"/>
      <c r="B5" s="119"/>
      <c r="C5" s="120" t="s">
        <v>123</v>
      </c>
    </row>
    <row r="6" spans="1:3" x14ac:dyDescent="0.3">
      <c r="A6" s="96"/>
      <c r="B6" s="96"/>
      <c r="C6" s="121"/>
    </row>
    <row r="7" spans="1:3" x14ac:dyDescent="0.3">
      <c r="A7" s="98" t="s">
        <v>124</v>
      </c>
      <c r="B7" s="98"/>
      <c r="C7" s="122">
        <f>DCF!B20</f>
        <v>27610515</v>
      </c>
    </row>
    <row r="8" spans="1:3" x14ac:dyDescent="0.3">
      <c r="A8" s="100" t="s">
        <v>125</v>
      </c>
      <c r="B8" s="100"/>
      <c r="C8" s="123">
        <v>1</v>
      </c>
    </row>
    <row r="9" spans="1:3" x14ac:dyDescent="0.3">
      <c r="A9" s="98"/>
      <c r="B9" s="98"/>
      <c r="C9" s="124"/>
    </row>
    <row r="10" spans="1:3" x14ac:dyDescent="0.3">
      <c r="A10" s="101" t="s">
        <v>126</v>
      </c>
      <c r="B10" s="125"/>
      <c r="C10" s="126">
        <f>C7*C8</f>
        <v>27610515</v>
      </c>
    </row>
    <row r="11" spans="1:3" x14ac:dyDescent="0.3">
      <c r="A11" s="98"/>
      <c r="B11" s="98"/>
      <c r="C11" s="124"/>
    </row>
    <row r="12" spans="1:3" x14ac:dyDescent="0.3">
      <c r="A12" s="101" t="s">
        <v>127</v>
      </c>
      <c r="B12" s="125"/>
      <c r="C12" s="126">
        <f>C10</f>
        <v>27610515</v>
      </c>
    </row>
    <row r="13" spans="1:3" x14ac:dyDescent="0.3">
      <c r="A13" s="127" t="s">
        <v>128</v>
      </c>
      <c r="B13" s="128">
        <v>0.15</v>
      </c>
      <c r="C13" s="129">
        <f>-C12*B13</f>
        <v>-4141577.25</v>
      </c>
    </row>
    <row r="14" spans="1:3" x14ac:dyDescent="0.3">
      <c r="A14" s="101"/>
      <c r="B14" s="101"/>
      <c r="C14" s="101"/>
    </row>
    <row r="15" spans="1:3" x14ac:dyDescent="0.3">
      <c r="A15" s="98" t="s">
        <v>129</v>
      </c>
      <c r="B15" s="98"/>
      <c r="C15" s="129">
        <f>C12+C13</f>
        <v>23468937.75</v>
      </c>
    </row>
    <row r="16" spans="1:3" x14ac:dyDescent="0.3">
      <c r="A16" s="130" t="s">
        <v>130</v>
      </c>
      <c r="B16" s="131">
        <v>0.25</v>
      </c>
      <c r="C16" s="100">
        <f>-C15*B16</f>
        <v>-5867234.4375</v>
      </c>
    </row>
    <row r="17" spans="1:3" x14ac:dyDescent="0.3">
      <c r="A17" s="98"/>
      <c r="B17" s="98"/>
      <c r="C17" s="98"/>
    </row>
    <row r="18" spans="1:3" x14ac:dyDescent="0.3">
      <c r="A18" s="101" t="s">
        <v>131</v>
      </c>
      <c r="B18" s="101"/>
      <c r="C18" s="132">
        <f>C15+C16</f>
        <v>17601703.3125</v>
      </c>
    </row>
    <row r="19" spans="1:3" x14ac:dyDescent="0.3">
      <c r="A19" s="98"/>
      <c r="B19" s="98"/>
      <c r="C19" s="98"/>
    </row>
    <row r="20" spans="1:3" ht="17.399999999999999" x14ac:dyDescent="0.35">
      <c r="A20" s="36" t="s">
        <v>132</v>
      </c>
      <c r="B20" s="36"/>
      <c r="C20" s="115">
        <f>C18*0.01</f>
        <v>176017.03312500002</v>
      </c>
    </row>
    <row r="21" spans="1:3" x14ac:dyDescent="0.3">
      <c r="A21" s="22"/>
      <c r="B21" s="22"/>
      <c r="C21" s="22"/>
    </row>
    <row r="22" spans="1:3" ht="43.2" x14ac:dyDescent="0.3">
      <c r="A22" s="75" t="s">
        <v>133</v>
      </c>
      <c r="B22" s="22"/>
      <c r="C22" s="22"/>
    </row>
    <row r="23" spans="1:3" ht="43.2" x14ac:dyDescent="0.3">
      <c r="A23" s="75" t="s">
        <v>134</v>
      </c>
      <c r="B23" s="22"/>
      <c r="C23" s="22"/>
    </row>
  </sheetData>
  <mergeCells count="3">
    <mergeCell ref="A1:C1"/>
    <mergeCell ref="A3:C3"/>
    <mergeCell ref="A2:C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7F948-6B4D-46FF-AADC-84761513C4D7}">
  <sheetPr>
    <tabColor rgb="FF0070C0"/>
  </sheetPr>
  <dimension ref="A1:L25"/>
  <sheetViews>
    <sheetView topLeftCell="A16" zoomScale="125" zoomScaleNormal="125" workbookViewId="0">
      <selection activeCell="C32" sqref="C32"/>
    </sheetView>
  </sheetViews>
  <sheetFormatPr defaultColWidth="8.88671875" defaultRowHeight="14.4" x14ac:dyDescent="0.3"/>
  <cols>
    <col min="1" max="1" width="46.33203125" customWidth="1"/>
    <col min="2" max="2" width="18" style="10" customWidth="1"/>
    <col min="3" max="6" width="18" customWidth="1"/>
    <col min="7" max="7" width="6.6640625" customWidth="1"/>
    <col min="8" max="12" width="12.33203125" customWidth="1"/>
  </cols>
  <sheetData>
    <row r="1" spans="1:12" ht="15.6" x14ac:dyDescent="0.3">
      <c r="A1" s="155" t="str">
        <f>'Milestone Balance Sheet'!A1</f>
        <v>Markel Group Inc.</v>
      </c>
      <c r="B1" s="156"/>
      <c r="C1" s="156"/>
      <c r="D1" s="156"/>
      <c r="E1" s="156"/>
      <c r="F1" s="156"/>
      <c r="G1" s="156"/>
      <c r="H1" s="156"/>
      <c r="I1" s="156"/>
      <c r="J1" s="156"/>
      <c r="K1" s="156"/>
      <c r="L1" s="156"/>
    </row>
    <row r="2" spans="1:12" ht="15.6" x14ac:dyDescent="0.3">
      <c r="A2" s="158" t="s">
        <v>40</v>
      </c>
      <c r="B2" s="159"/>
      <c r="C2" s="159"/>
      <c r="D2" s="159"/>
      <c r="E2" s="159"/>
      <c r="F2" s="159"/>
      <c r="G2" s="159"/>
      <c r="H2" s="159"/>
      <c r="I2" s="159"/>
      <c r="J2" s="159"/>
      <c r="K2" s="159"/>
      <c r="L2" s="159"/>
    </row>
    <row r="3" spans="1:12" ht="15.6" x14ac:dyDescent="0.3">
      <c r="A3" s="155" t="str">
        <f>'Milestone Balance Sheet'!A3</f>
        <v>For the Period of December 31, 2019 through December 31, 2023</v>
      </c>
      <c r="B3" s="156"/>
      <c r="C3" s="156"/>
      <c r="D3" s="156"/>
      <c r="E3" s="156"/>
      <c r="F3" s="156"/>
      <c r="G3" s="156"/>
      <c r="H3" s="156"/>
      <c r="I3" s="156"/>
      <c r="J3" s="156"/>
      <c r="K3" s="156"/>
      <c r="L3" s="156"/>
    </row>
    <row r="4" spans="1:12" ht="15.6" x14ac:dyDescent="0.3">
      <c r="A4" s="155" t="str">
        <f>'Milestone Balance Sheet'!A4</f>
        <v>(Dollars in Thousands)</v>
      </c>
      <c r="B4" s="156"/>
      <c r="C4" s="156"/>
      <c r="D4" s="156"/>
      <c r="E4" s="156"/>
      <c r="F4" s="156"/>
      <c r="G4" s="156"/>
      <c r="H4" s="156"/>
      <c r="I4" s="156"/>
      <c r="J4" s="156"/>
      <c r="K4" s="156"/>
      <c r="L4" s="156"/>
    </row>
    <row r="5" spans="1:12" ht="15.75" customHeight="1" x14ac:dyDescent="0.3">
      <c r="A5" s="76"/>
      <c r="B5" s="152" t="s">
        <v>4</v>
      </c>
      <c r="C5" s="153"/>
      <c r="D5" s="153"/>
      <c r="E5" s="153"/>
      <c r="F5" s="154"/>
      <c r="G5" s="52"/>
      <c r="H5" s="152" t="s">
        <v>5</v>
      </c>
      <c r="I5" s="153"/>
      <c r="J5" s="153"/>
      <c r="K5" s="153"/>
      <c r="L5" s="154"/>
    </row>
    <row r="6" spans="1:12" x14ac:dyDescent="0.3">
      <c r="A6" s="22"/>
      <c r="B6" s="23">
        <f>'Milestone Balance Sheet'!B6</f>
        <v>2019</v>
      </c>
      <c r="C6" s="24">
        <f>'Milestone Balance Sheet'!C6</f>
        <v>2020</v>
      </c>
      <c r="D6" s="24">
        <f>'Milestone Balance Sheet'!D6</f>
        <v>2021</v>
      </c>
      <c r="E6" s="24">
        <f>'Milestone Balance Sheet'!E6</f>
        <v>2022</v>
      </c>
      <c r="F6" s="25">
        <f>'Milestone Balance Sheet'!F6</f>
        <v>2023</v>
      </c>
      <c r="G6" s="22"/>
      <c r="H6" s="23">
        <f>'Milestone Balance Sheet'!H6</f>
        <v>2019</v>
      </c>
      <c r="I6" s="24">
        <f>'Milestone Balance Sheet'!I6</f>
        <v>2020</v>
      </c>
      <c r="J6" s="24">
        <f>'Milestone Balance Sheet'!J6</f>
        <v>2021</v>
      </c>
      <c r="K6" s="24">
        <f>'Milestone Balance Sheet'!K6</f>
        <v>2022</v>
      </c>
      <c r="L6" s="25">
        <f>'Milestone Balance Sheet'!L6</f>
        <v>2023</v>
      </c>
    </row>
    <row r="7" spans="1:12" x14ac:dyDescent="0.3">
      <c r="A7" s="30" t="s">
        <v>41</v>
      </c>
      <c r="B7" s="31">
        <v>9526191</v>
      </c>
      <c r="C7" s="31">
        <v>9735066</v>
      </c>
      <c r="D7" s="31">
        <v>12846425</v>
      </c>
      <c r="E7" s="31">
        <v>11675335</v>
      </c>
      <c r="F7" s="31">
        <v>15803630</v>
      </c>
      <c r="G7" s="32"/>
      <c r="H7" s="77">
        <f>B7/B$7</f>
        <v>1</v>
      </c>
      <c r="I7" s="77">
        <f>C7/C$7</f>
        <v>1</v>
      </c>
      <c r="J7" s="77">
        <f t="shared" ref="J7:L8" si="0">D7/D$7</f>
        <v>1</v>
      </c>
      <c r="K7" s="77">
        <f t="shared" si="0"/>
        <v>1</v>
      </c>
      <c r="L7" s="77">
        <f t="shared" si="0"/>
        <v>1</v>
      </c>
    </row>
    <row r="8" spans="1:12" x14ac:dyDescent="0.3">
      <c r="A8" s="34" t="s">
        <v>42</v>
      </c>
      <c r="B8" s="74">
        <v>0</v>
      </c>
      <c r="C8" s="74">
        <v>0</v>
      </c>
      <c r="D8" s="74">
        <v>0</v>
      </c>
      <c r="E8" s="74">
        <v>0</v>
      </c>
      <c r="F8" s="74">
        <v>0</v>
      </c>
      <c r="G8" s="104"/>
      <c r="H8" s="105">
        <f>B8/B$7</f>
        <v>0</v>
      </c>
      <c r="I8" s="105">
        <f>C8/C$7</f>
        <v>0</v>
      </c>
      <c r="J8" s="105">
        <f t="shared" si="0"/>
        <v>0</v>
      </c>
      <c r="K8" s="105">
        <f t="shared" si="0"/>
        <v>0</v>
      </c>
      <c r="L8" s="105">
        <f t="shared" si="0"/>
        <v>0</v>
      </c>
    </row>
    <row r="9" spans="1:12" ht="17.399999999999999" x14ac:dyDescent="0.35">
      <c r="A9" s="79"/>
      <c r="B9" s="80"/>
      <c r="C9" s="80"/>
      <c r="D9" s="80"/>
      <c r="E9" s="22"/>
      <c r="F9" s="22"/>
      <c r="G9" s="22"/>
      <c r="H9" s="22"/>
      <c r="I9" s="22"/>
      <c r="J9" s="22"/>
      <c r="K9" s="22"/>
      <c r="L9" s="22"/>
    </row>
    <row r="10" spans="1:12" ht="17.399999999999999" x14ac:dyDescent="0.35">
      <c r="A10" s="67" t="s">
        <v>43</v>
      </c>
      <c r="B10" s="85">
        <f>B7-B8</f>
        <v>9526191</v>
      </c>
      <c r="C10" s="85">
        <f>C7-C8</f>
        <v>9735066</v>
      </c>
      <c r="D10" s="85">
        <f>D7-D8</f>
        <v>12846425</v>
      </c>
      <c r="E10" s="85">
        <f>E7-E8</f>
        <v>11675335</v>
      </c>
      <c r="F10" s="85">
        <f>F7-F8</f>
        <v>15803630</v>
      </c>
      <c r="G10" s="134"/>
      <c r="H10" s="86">
        <f>B10/B$7</f>
        <v>1</v>
      </c>
      <c r="I10" s="86">
        <f>C10/C$7</f>
        <v>1</v>
      </c>
      <c r="J10" s="86">
        <f>D10/D$7</f>
        <v>1</v>
      </c>
      <c r="K10" s="86">
        <f>E10/E$7</f>
        <v>1</v>
      </c>
      <c r="L10" s="86">
        <f>F10/F$7</f>
        <v>1</v>
      </c>
    </row>
    <row r="11" spans="1:12" ht="17.399999999999999" x14ac:dyDescent="0.35">
      <c r="A11" s="79"/>
      <c r="B11" s="80"/>
      <c r="C11" s="80"/>
      <c r="D11" s="80"/>
      <c r="E11" s="22"/>
      <c r="F11" s="22"/>
      <c r="G11" s="22"/>
      <c r="H11" s="22"/>
      <c r="I11" s="22"/>
      <c r="J11" s="22"/>
      <c r="K11" s="22"/>
      <c r="L11" s="22"/>
    </row>
    <row r="12" spans="1:12" x14ac:dyDescent="0.3">
      <c r="A12" s="30" t="s">
        <v>44</v>
      </c>
      <c r="B12" s="31">
        <v>7048845</v>
      </c>
      <c r="C12" s="31">
        <v>8461182</v>
      </c>
      <c r="D12" s="31">
        <v>9604920</v>
      </c>
      <c r="E12" s="31">
        <v>11768671</v>
      </c>
      <c r="F12" s="31">
        <v>12874802</v>
      </c>
      <c r="G12" s="32"/>
      <c r="H12" s="33">
        <f>B12/B$7</f>
        <v>0.73994369837850194</v>
      </c>
      <c r="I12" s="33">
        <f>C12/C$7</f>
        <v>0.86914480086729762</v>
      </c>
      <c r="J12" s="33">
        <f>D12/D$7</f>
        <v>0.747672601521435</v>
      </c>
      <c r="K12" s="33">
        <f>E12/E$7</f>
        <v>1.0079942888148392</v>
      </c>
      <c r="L12" s="33">
        <f>F12/F$7</f>
        <v>0.81467371736746552</v>
      </c>
    </row>
    <row r="13" spans="1:12" ht="17.399999999999999" x14ac:dyDescent="0.35">
      <c r="A13" s="81"/>
      <c r="B13" s="80"/>
      <c r="C13" s="80"/>
      <c r="D13" s="80"/>
      <c r="E13" s="22"/>
      <c r="F13" s="22"/>
      <c r="G13" s="22"/>
      <c r="H13" s="22"/>
      <c r="I13" s="22"/>
      <c r="J13" s="22"/>
      <c r="K13" s="22"/>
      <c r="L13" s="22"/>
    </row>
    <row r="14" spans="1:12" ht="17.399999999999999" x14ac:dyDescent="0.35">
      <c r="A14" s="67" t="s">
        <v>45</v>
      </c>
      <c r="B14" s="85">
        <f>B10-B12</f>
        <v>2477346</v>
      </c>
      <c r="C14" s="85">
        <f>C10-C12</f>
        <v>1273884</v>
      </c>
      <c r="D14" s="85">
        <f>D10-D12</f>
        <v>3241505</v>
      </c>
      <c r="E14" s="85">
        <f>E10-E12</f>
        <v>-93336</v>
      </c>
      <c r="F14" s="85">
        <f>F10-F12</f>
        <v>2928828</v>
      </c>
      <c r="G14" s="134"/>
      <c r="H14" s="86">
        <f>B14/B$7</f>
        <v>0.26005630162149801</v>
      </c>
      <c r="I14" s="86">
        <f>C14/C$7</f>
        <v>0.13085519913270233</v>
      </c>
      <c r="J14" s="86">
        <f>D14/D$7</f>
        <v>0.25232739847856506</v>
      </c>
      <c r="K14" s="86">
        <f>E14/E$7</f>
        <v>-7.9942888148391462E-3</v>
      </c>
      <c r="L14" s="86">
        <f>F14/F$7</f>
        <v>0.18532628263253442</v>
      </c>
    </row>
    <row r="15" spans="1:12" ht="17.399999999999999" x14ac:dyDescent="0.35">
      <c r="A15" s="79"/>
      <c r="B15" s="80"/>
      <c r="C15" s="80"/>
      <c r="D15" s="80"/>
      <c r="E15" s="22"/>
      <c r="F15" s="22"/>
      <c r="G15" s="22"/>
      <c r="H15" s="22"/>
      <c r="I15" s="22"/>
      <c r="J15" s="22"/>
      <c r="K15" s="22"/>
      <c r="L15" s="22"/>
    </row>
    <row r="16" spans="1:12" x14ac:dyDescent="0.3">
      <c r="A16" s="133" t="s">
        <v>46</v>
      </c>
      <c r="B16" s="22"/>
      <c r="C16" s="22"/>
      <c r="D16" s="22"/>
      <c r="E16" s="22"/>
      <c r="F16" s="22"/>
      <c r="G16" s="22"/>
      <c r="H16" s="22"/>
      <c r="I16" s="22"/>
      <c r="J16" s="22"/>
      <c r="K16" s="22"/>
      <c r="L16" s="22"/>
    </row>
    <row r="17" spans="1:12" x14ac:dyDescent="0.3">
      <c r="A17" s="30" t="s">
        <v>47</v>
      </c>
      <c r="B17" s="31">
        <v>-171687</v>
      </c>
      <c r="C17" s="31">
        <v>-177582</v>
      </c>
      <c r="D17" s="31">
        <v>-183579</v>
      </c>
      <c r="E17" s="31">
        <v>-196062</v>
      </c>
      <c r="F17" s="31">
        <v>-185077</v>
      </c>
      <c r="G17" s="32"/>
      <c r="H17" s="33">
        <f>B17/B$7</f>
        <v>-1.8022628351667524E-2</v>
      </c>
      <c r="I17" s="33">
        <f>C17/C$7</f>
        <v>-1.8241478794288606E-2</v>
      </c>
      <c r="J17" s="33">
        <f t="shared" ref="J17:L18" si="1">D17/D$7</f>
        <v>-1.4290279202190493E-2</v>
      </c>
      <c r="K17" s="33">
        <f t="shared" si="1"/>
        <v>-1.6792837207668988E-2</v>
      </c>
      <c r="L17" s="33">
        <f t="shared" si="1"/>
        <v>-1.1711043602007892E-2</v>
      </c>
    </row>
    <row r="18" spans="1:12" x14ac:dyDescent="0.3">
      <c r="A18" s="34" t="s">
        <v>48</v>
      </c>
      <c r="B18" s="74">
        <v>-19851</v>
      </c>
      <c r="C18" s="74">
        <v>-95853</v>
      </c>
      <c r="D18" s="74">
        <v>71902</v>
      </c>
      <c r="E18" s="74">
        <v>137832</v>
      </c>
      <c r="F18" s="74">
        <v>-90045</v>
      </c>
      <c r="G18" s="104"/>
      <c r="H18" s="105">
        <f>B18/B$7</f>
        <v>-2.0838339269074074E-3</v>
      </c>
      <c r="I18" s="105">
        <f>C18/C$7</f>
        <v>-9.84615820786423E-3</v>
      </c>
      <c r="J18" s="105">
        <f t="shared" si="1"/>
        <v>5.5970435354583082E-3</v>
      </c>
      <c r="K18" s="105">
        <f t="shared" si="1"/>
        <v>1.1805400016359274E-2</v>
      </c>
      <c r="L18" s="105">
        <f t="shared" si="1"/>
        <v>-5.6977415948108127E-3</v>
      </c>
    </row>
    <row r="19" spans="1:12" ht="17.399999999999999" x14ac:dyDescent="0.35">
      <c r="A19" s="79"/>
      <c r="B19" s="82"/>
      <c r="C19" s="82"/>
      <c r="D19" s="82"/>
      <c r="E19" s="53"/>
      <c r="F19" s="53"/>
      <c r="G19" s="22"/>
      <c r="H19" s="22"/>
      <c r="I19" s="22"/>
      <c r="J19" s="22"/>
      <c r="K19" s="22"/>
      <c r="L19" s="22"/>
    </row>
    <row r="20" spans="1:12" ht="17.399999999999999" x14ac:dyDescent="0.35">
      <c r="A20" s="67" t="s">
        <v>49</v>
      </c>
      <c r="B20" s="85">
        <f>SUM(B14+B17+B18)</f>
        <v>2285808</v>
      </c>
      <c r="C20" s="85">
        <f>C14+C17+C18</f>
        <v>1000449</v>
      </c>
      <c r="D20" s="85">
        <f>D14+D17+D18</f>
        <v>3129828</v>
      </c>
      <c r="E20" s="85">
        <f>E14+E17+E18</f>
        <v>-151566</v>
      </c>
      <c r="F20" s="85">
        <f>F14+F17+F18</f>
        <v>2653706</v>
      </c>
      <c r="G20" s="134"/>
      <c r="H20" s="86">
        <f>B20/B$7</f>
        <v>0.2399498393429231</v>
      </c>
      <c r="I20" s="86">
        <f>C20/C$7</f>
        <v>0.10276756213054949</v>
      </c>
      <c r="J20" s="86">
        <f>D20/D$7</f>
        <v>0.24363416281183287</v>
      </c>
      <c r="K20" s="86">
        <f>E20/E$7</f>
        <v>-1.298172600614886E-2</v>
      </c>
      <c r="L20" s="86">
        <f>F20/F$7</f>
        <v>0.16791749743571571</v>
      </c>
    </row>
    <row r="21" spans="1:12" ht="17.399999999999999" x14ac:dyDescent="0.35">
      <c r="A21" s="79"/>
      <c r="B21" s="22"/>
      <c r="C21" s="22"/>
      <c r="D21" s="22"/>
      <c r="E21" s="22"/>
      <c r="F21" s="22"/>
      <c r="G21" s="22"/>
      <c r="H21" s="22"/>
      <c r="I21" s="22"/>
      <c r="J21" s="22"/>
      <c r="K21" s="22"/>
      <c r="L21" s="22"/>
    </row>
    <row r="22" spans="1:12" ht="17.399999999999999" x14ac:dyDescent="0.35">
      <c r="A22" s="79"/>
      <c r="B22" s="80"/>
      <c r="C22" s="80"/>
      <c r="D22" s="80"/>
      <c r="E22" s="22"/>
      <c r="F22" s="22"/>
      <c r="G22" s="22"/>
      <c r="H22" s="22"/>
      <c r="I22" s="22"/>
      <c r="J22" s="22"/>
      <c r="K22" s="22"/>
      <c r="L22" s="22"/>
    </row>
    <row r="23" spans="1:12" ht="17.399999999999999" x14ac:dyDescent="0.35">
      <c r="A23" s="79"/>
      <c r="B23" s="157"/>
      <c r="C23" s="157"/>
      <c r="D23" s="157"/>
      <c r="E23" s="157"/>
      <c r="F23" s="157"/>
      <c r="G23" s="22"/>
      <c r="H23" s="22"/>
      <c r="I23" s="22"/>
      <c r="J23" s="22"/>
      <c r="K23" s="22"/>
      <c r="L23" s="22"/>
    </row>
    <row r="24" spans="1:12" ht="17.399999999999999" x14ac:dyDescent="0.35">
      <c r="A24" s="67" t="s">
        <v>50</v>
      </c>
      <c r="B24" s="83"/>
      <c r="C24" s="84">
        <f>SUM(C7-B7)/B7</f>
        <v>2.1926392195999428E-2</v>
      </c>
      <c r="D24" s="84">
        <f>(D7-C7)/C7</f>
        <v>0.31960327747135975</v>
      </c>
      <c r="E24" s="84">
        <f>(E7-D7)/D7</f>
        <v>-9.1160770408888078E-2</v>
      </c>
      <c r="F24" s="84">
        <f>(F7-E7)/E7</f>
        <v>0.35359113892663463</v>
      </c>
      <c r="G24" s="22"/>
      <c r="H24" s="22"/>
      <c r="I24" s="22"/>
      <c r="J24" s="22"/>
      <c r="K24" s="22"/>
      <c r="L24" s="22"/>
    </row>
    <row r="25" spans="1:12" ht="17.399999999999999" x14ac:dyDescent="0.35">
      <c r="A25" s="12"/>
      <c r="B25" s="17"/>
      <c r="C25" s="18"/>
      <c r="D25" s="18"/>
      <c r="E25" s="18"/>
      <c r="F25" s="18"/>
    </row>
  </sheetData>
  <mergeCells count="7">
    <mergeCell ref="B23:F23"/>
    <mergeCell ref="H5:L5"/>
    <mergeCell ref="B5:F5"/>
    <mergeCell ref="A1:L1"/>
    <mergeCell ref="A2:L2"/>
    <mergeCell ref="A3:L3"/>
    <mergeCell ref="A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05DFE-B4A6-494C-B48F-9EE15AACB9CF}">
  <sheetPr>
    <tabColor rgb="FF0070C0"/>
  </sheetPr>
  <dimension ref="A1:L27"/>
  <sheetViews>
    <sheetView topLeftCell="A16" workbookViewId="0">
      <selection activeCell="H22" sqref="H22"/>
    </sheetView>
  </sheetViews>
  <sheetFormatPr defaultColWidth="8.88671875" defaultRowHeight="14.4" x14ac:dyDescent="0.3"/>
  <cols>
    <col min="1" max="1" width="47.6640625" customWidth="1"/>
    <col min="2" max="2" width="17.5546875" style="9" customWidth="1"/>
    <col min="3" max="3" width="17.33203125" customWidth="1"/>
    <col min="4" max="4" width="18.6640625" customWidth="1"/>
    <col min="5" max="5" width="21.44140625" customWidth="1"/>
    <col min="6" max="6" width="22.33203125" customWidth="1"/>
  </cols>
  <sheetData>
    <row r="1" spans="1:12" ht="15.6" x14ac:dyDescent="0.3">
      <c r="A1" s="155" t="str">
        <f>'Milestone Balance Sheet'!A1</f>
        <v>Markel Group Inc.</v>
      </c>
      <c r="B1" s="156"/>
      <c r="C1" s="156"/>
      <c r="D1" s="156"/>
      <c r="E1" s="156"/>
      <c r="F1" s="156"/>
      <c r="G1" s="4"/>
      <c r="H1" s="4"/>
      <c r="I1" s="4"/>
      <c r="J1" s="4"/>
      <c r="K1" s="4"/>
      <c r="L1" s="4"/>
    </row>
    <row r="2" spans="1:12" ht="15.6" x14ac:dyDescent="0.3">
      <c r="A2" s="158" t="s">
        <v>51</v>
      </c>
      <c r="B2" s="159"/>
      <c r="C2" s="159"/>
      <c r="D2" s="159"/>
      <c r="E2" s="159"/>
      <c r="F2" s="159"/>
    </row>
    <row r="3" spans="1:12" ht="15.75" customHeight="1" x14ac:dyDescent="0.3">
      <c r="A3" s="155" t="str">
        <f>'Milestone Balance Sheet'!A3</f>
        <v>For the Period of December 31, 2019 through December 31, 2023</v>
      </c>
      <c r="B3" s="156"/>
      <c r="C3" s="156"/>
      <c r="D3" s="156"/>
      <c r="E3" s="156"/>
      <c r="F3" s="156"/>
      <c r="G3" s="4"/>
      <c r="H3" s="4"/>
      <c r="I3" s="4"/>
      <c r="J3" s="4"/>
      <c r="K3" s="4"/>
      <c r="L3" s="4"/>
    </row>
    <row r="4" spans="1:12" x14ac:dyDescent="0.3">
      <c r="A4" s="22"/>
      <c r="B4" s="89">
        <f>'Milestone Balance Sheet'!B6</f>
        <v>2019</v>
      </c>
      <c r="C4" s="89">
        <f>'Milestone Balance Sheet'!C6</f>
        <v>2020</v>
      </c>
      <c r="D4" s="89">
        <f>'Milestone Balance Sheet'!D6</f>
        <v>2021</v>
      </c>
      <c r="E4" s="89">
        <f>'Milestone Balance Sheet'!E6</f>
        <v>2022</v>
      </c>
      <c r="F4" s="89">
        <f>'Milestone Balance Sheet'!F6</f>
        <v>2023</v>
      </c>
    </row>
    <row r="5" spans="1:12" ht="17.399999999999999" x14ac:dyDescent="0.35">
      <c r="A5" s="92" t="s">
        <v>52</v>
      </c>
      <c r="B5" s="93"/>
      <c r="C5" s="93"/>
      <c r="D5" s="93"/>
      <c r="E5" s="93"/>
      <c r="F5" s="94"/>
    </row>
    <row r="6" spans="1:12" x14ac:dyDescent="0.3">
      <c r="A6" s="95" t="s">
        <v>53</v>
      </c>
      <c r="B6" s="96">
        <f>'Milestone Balance Sheet'!B13/'Milestone Balance Sheet'!B28</f>
        <v>1.1946203381639351</v>
      </c>
      <c r="C6" s="96">
        <f>'Milestone Balance Sheet'!C13/'Milestone Balance Sheet'!C28</f>
        <v>1.2308863019274372</v>
      </c>
      <c r="D6" s="96">
        <f>'Milestone Balance Sheet'!D13/'Milestone Balance Sheet'!D28</f>
        <v>1.2242210179841782</v>
      </c>
      <c r="E6" s="96">
        <f>'Milestone Balance Sheet'!E13/'Milestone Balance Sheet'!E28</f>
        <v>1.0663927046647896</v>
      </c>
      <c r="F6" s="96">
        <f>'Milestone Balance Sheet'!F13/'Milestone Balance Sheet'!F28</f>
        <v>1.0784848784235064</v>
      </c>
    </row>
    <row r="7" spans="1:12" x14ac:dyDescent="0.3">
      <c r="A7" s="97" t="s">
        <v>54</v>
      </c>
      <c r="B7" s="98">
        <f>('Milestone Balance Sheet'!B9+'Milestone Balance Sheet'!B10)/'Milestone Balance Sheet'!B28</f>
        <v>0.26503762453879931</v>
      </c>
      <c r="C7" s="98">
        <f>('Milestone Balance Sheet'!C9+'Milestone Balance Sheet'!C10)/'Milestone Balance Sheet'!C28</f>
        <v>0.32755097752301804</v>
      </c>
      <c r="D7" s="98">
        <f>('Milestone Balance Sheet'!D9+'Milestone Balance Sheet'!D10)/'Milestone Balance Sheet'!D28</f>
        <v>0.29083960797950481</v>
      </c>
      <c r="E7" s="98">
        <f>('Milestone Balance Sheet'!E9+'Milestone Balance Sheet'!E10)/'Milestone Balance Sheet'!E28</f>
        <v>0.28721744158443147</v>
      </c>
      <c r="F7" s="98">
        <f>('Milestone Balance Sheet'!F9+'Milestone Balance Sheet'!F10)/'Milestone Balance Sheet'!F28</f>
        <v>0.2447885067147928</v>
      </c>
      <c r="H7" s="151"/>
    </row>
    <row r="8" spans="1:12" x14ac:dyDescent="0.3">
      <c r="A8" s="99" t="s">
        <v>55</v>
      </c>
      <c r="B8" s="100">
        <f>'Milestone Balance Sheet'!B13-'Milestone Balance Sheet'!B28</f>
        <v>3927215</v>
      </c>
      <c r="C8" s="100">
        <f>'Milestone Balance Sheet'!C13-'Milestone Balance Sheet'!C28</f>
        <v>5037726</v>
      </c>
      <c r="D8" s="100">
        <f>'Milestone Balance Sheet'!D13-'Milestone Balance Sheet'!D28</f>
        <v>5623947</v>
      </c>
      <c r="E8" s="100">
        <f>'Milestone Balance Sheet'!E13-'Milestone Balance Sheet'!E28</f>
        <v>1891469</v>
      </c>
      <c r="F8" s="100">
        <f>'Milestone Balance Sheet'!F13-'Milestone Balance Sheet'!F28</f>
        <v>2496802</v>
      </c>
      <c r="H8" s="151"/>
    </row>
    <row r="9" spans="1:12" s="14" customFormat="1" ht="15.6" x14ac:dyDescent="0.3">
      <c r="A9" s="90"/>
      <c r="B9" s="91"/>
      <c r="C9" s="91"/>
      <c r="D9" s="91"/>
      <c r="E9" s="91"/>
      <c r="F9" s="91"/>
      <c r="H9" s="151"/>
    </row>
    <row r="10" spans="1:12" ht="17.399999999999999" x14ac:dyDescent="0.35">
      <c r="A10" s="92" t="s">
        <v>56</v>
      </c>
      <c r="B10" s="93"/>
      <c r="C10" s="93"/>
      <c r="D10" s="93"/>
      <c r="E10" s="93"/>
      <c r="F10" s="94"/>
    </row>
    <row r="11" spans="1:12" x14ac:dyDescent="0.3">
      <c r="A11" s="97" t="s">
        <v>57</v>
      </c>
      <c r="B11" s="98">
        <f>'Milestone Income Statement'!B7/'Milestone Balance Sheet'!B10</f>
        <v>5.1554176259144651</v>
      </c>
      <c r="C11" s="98">
        <f>'Milestone Income Statement'!C7/'Milestone Balance Sheet'!C10</f>
        <v>5.0435242571926073</v>
      </c>
      <c r="D11" s="98">
        <f>'Milestone Income Statement'!D7/'Milestone Balance Sheet'!D10</f>
        <v>5.3217708988383299</v>
      </c>
      <c r="E11" s="98">
        <f>'Milestone Income Statement'!E7/'Milestone Balance Sheet'!E10</f>
        <v>3.9429632536500492</v>
      </c>
      <c r="F11" s="98">
        <f>'Milestone Income Statement'!F7/'Milestone Balance Sheet'!F10</f>
        <v>4.5737280576597268</v>
      </c>
    </row>
    <row r="12" spans="1:12" x14ac:dyDescent="0.3">
      <c r="A12" s="99" t="s">
        <v>58</v>
      </c>
      <c r="B12" s="101">
        <f>365/B11</f>
        <v>70.7993079290558</v>
      </c>
      <c r="C12" s="101">
        <f>365/C11</f>
        <v>72.37002964335322</v>
      </c>
      <c r="D12" s="101">
        <f>365/D11</f>
        <v>68.586191878285206</v>
      </c>
      <c r="E12" s="101">
        <f>365/E11</f>
        <v>92.569972510424748</v>
      </c>
      <c r="F12" s="101">
        <f>365/F11</f>
        <v>79.803607778719197</v>
      </c>
    </row>
    <row r="13" spans="1:12" x14ac:dyDescent="0.3">
      <c r="A13" s="97" t="s">
        <v>59</v>
      </c>
      <c r="B13" s="98">
        <f>'Milestone Income Statement'!B7/'Milestone Ratios'!B8</f>
        <v>2.4256861414513846</v>
      </c>
      <c r="C13" s="98">
        <f>'Milestone Income Statement'!C7/'Milestone Ratios'!C8</f>
        <v>1.9324326094749893</v>
      </c>
      <c r="D13" s="98">
        <f>'Milestone Income Statement'!D7/'Milestone Ratios'!D8</f>
        <v>2.2842364979613072</v>
      </c>
      <c r="E13" s="98">
        <f>'Milestone Income Statement'!E7/'Milestone Ratios'!E8</f>
        <v>6.1726282587766441</v>
      </c>
      <c r="F13" s="98">
        <f>'Milestone Income Statement'!F7/'Milestone Ratios'!F8</f>
        <v>6.329548758772221</v>
      </c>
    </row>
    <row r="14" spans="1:12" x14ac:dyDescent="0.3">
      <c r="A14" s="99" t="s">
        <v>60</v>
      </c>
      <c r="B14" s="101" t="e">
        <f>'Milestone Income Statement'!B7/'Milestone Balance Sheet'!B16</f>
        <v>#DIV/0!</v>
      </c>
      <c r="C14" s="101" t="e">
        <f>'Milestone Income Statement'!C7/'Milestone Balance Sheet'!C16</f>
        <v>#DIV/0!</v>
      </c>
      <c r="D14" s="101" t="e">
        <f>'Milestone Income Statement'!D7/'Milestone Balance Sheet'!D16</f>
        <v>#DIV/0!</v>
      </c>
      <c r="E14" s="101" t="e">
        <f>'Milestone Income Statement'!E7/'Milestone Balance Sheet'!E16</f>
        <v>#DIV/0!</v>
      </c>
      <c r="F14" s="101" t="e">
        <f>'Milestone Income Statement'!F7/'Milestone Balance Sheet'!F16</f>
        <v>#DIV/0!</v>
      </c>
    </row>
    <row r="15" spans="1:12" x14ac:dyDescent="0.3">
      <c r="A15" s="97" t="s">
        <v>61</v>
      </c>
      <c r="B15" s="98">
        <f>'Milestone Income Statement'!B7/'Milestone Balance Sheet'!B21</f>
        <v>0.25420926585670556</v>
      </c>
      <c r="C15" s="98">
        <f>'Milestone Income Statement'!C7/'Milestone Balance Sheet'!C21</f>
        <v>0.23339854702657542</v>
      </c>
      <c r="D15" s="98">
        <f>'Milestone Income Statement'!D7/'Milestone Balance Sheet'!D21</f>
        <v>0.26499988778205691</v>
      </c>
      <c r="E15" s="98">
        <f>'Milestone Income Statement'!E7/'Milestone Balance Sheet'!E21</f>
        <v>0.23448563532004685</v>
      </c>
      <c r="F15" s="98">
        <f>'Milestone Income Statement'!F7/'Milestone Balance Sheet'!F21</f>
        <v>0.2871001209721884</v>
      </c>
    </row>
    <row r="16" spans="1:12" x14ac:dyDescent="0.3">
      <c r="A16" s="99" t="s">
        <v>62</v>
      </c>
      <c r="B16" s="101" t="e">
        <f>'Milestone Income Statement'!B8/'Milestone Balance Sheet'!B11</f>
        <v>#DIV/0!</v>
      </c>
      <c r="C16" s="101" t="e">
        <f>'Milestone Income Statement'!C8/'Milestone Balance Sheet'!C11</f>
        <v>#DIV/0!</v>
      </c>
      <c r="D16" s="101" t="e">
        <f>'Milestone Income Statement'!D8/'Milestone Balance Sheet'!D11</f>
        <v>#DIV/0!</v>
      </c>
      <c r="E16" s="101" t="e">
        <f>'Milestone Income Statement'!E8/'Milestone Balance Sheet'!E11</f>
        <v>#DIV/0!</v>
      </c>
      <c r="F16" s="101" t="e">
        <f>'Milestone Income Statement'!F8/'Milestone Balance Sheet'!F11</f>
        <v>#DIV/0!</v>
      </c>
    </row>
    <row r="17" spans="1:7" x14ac:dyDescent="0.3">
      <c r="A17" s="97" t="s">
        <v>63</v>
      </c>
      <c r="B17" s="98" t="e">
        <f>365/B16</f>
        <v>#DIV/0!</v>
      </c>
      <c r="C17" s="98" t="e">
        <f>365/C16</f>
        <v>#DIV/0!</v>
      </c>
      <c r="D17" s="98" t="e">
        <f>365/D16</f>
        <v>#DIV/0!</v>
      </c>
      <c r="E17" s="98" t="e">
        <f>365/E16</f>
        <v>#DIV/0!</v>
      </c>
      <c r="F17" s="98" t="e">
        <f>365/F16</f>
        <v>#DIV/0!</v>
      </c>
      <c r="G17" s="19"/>
    </row>
    <row r="18" spans="1:7" x14ac:dyDescent="0.3">
      <c r="A18" s="99" t="s">
        <v>64</v>
      </c>
      <c r="B18" s="101">
        <f>'Milestone Income Statement'!B8/'Milestone Balance Sheet'!B25</f>
        <v>0</v>
      </c>
      <c r="C18" s="101">
        <f>'Milestone Income Statement'!C8/'Milestone Balance Sheet'!C25</f>
        <v>0</v>
      </c>
      <c r="D18" s="101">
        <f>'Milestone Income Statement'!D8/'Milestone Balance Sheet'!D25</f>
        <v>0</v>
      </c>
      <c r="E18" s="101">
        <f>'Milestone Income Statement'!E8/'Milestone Balance Sheet'!E25</f>
        <v>0</v>
      </c>
      <c r="F18" s="101">
        <f>'Milestone Income Statement'!F8/'Milestone Balance Sheet'!F25</f>
        <v>0</v>
      </c>
      <c r="G18" s="19"/>
    </row>
    <row r="19" spans="1:7" x14ac:dyDescent="0.3">
      <c r="A19" s="97" t="s">
        <v>65</v>
      </c>
      <c r="B19" s="98" t="e">
        <f>365/B18</f>
        <v>#DIV/0!</v>
      </c>
      <c r="C19" s="98" t="e">
        <f>365/C18</f>
        <v>#DIV/0!</v>
      </c>
      <c r="D19" s="98" t="e">
        <f>365/D18</f>
        <v>#DIV/0!</v>
      </c>
      <c r="E19" s="98" t="e">
        <f>365/E18</f>
        <v>#DIV/0!</v>
      </c>
      <c r="F19" s="98" t="e">
        <f>365/F18</f>
        <v>#DIV/0!</v>
      </c>
      <c r="G19" s="19"/>
    </row>
    <row r="20" spans="1:7" s="14" customFormat="1" ht="15.6" x14ac:dyDescent="0.3">
      <c r="A20" s="90"/>
      <c r="B20" s="91"/>
      <c r="C20" s="91"/>
      <c r="D20" s="91"/>
      <c r="E20" s="91"/>
      <c r="F20" s="91"/>
    </row>
    <row r="21" spans="1:7" ht="17.399999999999999" x14ac:dyDescent="0.35">
      <c r="A21" s="92" t="s">
        <v>66</v>
      </c>
      <c r="B21" s="93"/>
      <c r="C21" s="93"/>
      <c r="D21" s="93"/>
      <c r="E21" s="93"/>
      <c r="F21" s="94"/>
    </row>
    <row r="22" spans="1:7" x14ac:dyDescent="0.3">
      <c r="A22" s="95" t="s">
        <v>67</v>
      </c>
      <c r="B22" s="96">
        <f>'Milestone Balance Sheet'!B16/'Milestone Balance Sheet'!B42</f>
        <v>0</v>
      </c>
      <c r="C22" s="96">
        <f>'Milestone Balance Sheet'!C16/'Milestone Balance Sheet'!C42</f>
        <v>0</v>
      </c>
      <c r="D22" s="96">
        <f>'Milestone Balance Sheet'!D16/'Milestone Balance Sheet'!D42</f>
        <v>0</v>
      </c>
      <c r="E22" s="96">
        <f>'Milestone Balance Sheet'!E16/'Milestone Balance Sheet'!E42</f>
        <v>0</v>
      </c>
      <c r="F22" s="96">
        <f>'Milestone Balance Sheet'!F16/'Milestone Balance Sheet'!F42</f>
        <v>0</v>
      </c>
    </row>
    <row r="23" spans="1:7" s="14" customFormat="1" ht="15.6" x14ac:dyDescent="0.3">
      <c r="A23" s="90"/>
      <c r="B23" s="91"/>
      <c r="C23" s="91"/>
      <c r="D23" s="91"/>
      <c r="E23" s="91"/>
      <c r="F23" s="91"/>
    </row>
    <row r="24" spans="1:7" ht="17.399999999999999" x14ac:dyDescent="0.35">
      <c r="A24" s="92" t="s">
        <v>68</v>
      </c>
      <c r="B24" s="93"/>
      <c r="C24" s="93"/>
      <c r="D24" s="93"/>
      <c r="E24" s="93"/>
      <c r="F24" s="94"/>
    </row>
    <row r="25" spans="1:7" x14ac:dyDescent="0.3">
      <c r="A25" s="97" t="s">
        <v>69</v>
      </c>
      <c r="B25" s="102">
        <f>'Milestone Income Statement'!B20/'Milestone Balance Sheet'!B42</f>
        <v>0.20307502377847575</v>
      </c>
      <c r="C25" s="102">
        <f>'Milestone Income Statement'!C20/'Milestone Balance Sheet'!C42</f>
        <v>7.6602163667774531E-2</v>
      </c>
      <c r="D25" s="102">
        <f>'Milestone Income Statement'!D20/'Milestone Balance Sheet'!D42</f>
        <v>0.20588822694050121</v>
      </c>
      <c r="E25" s="102">
        <f>'Milestone Income Statement'!E20/'Milestone Balance Sheet'!E42</f>
        <v>-1.1033382084741843E-2</v>
      </c>
      <c r="F25" s="102">
        <f>'Milestone Income Statement'!F20/'Milestone Balance Sheet'!F42</f>
        <v>0.17092131190135085</v>
      </c>
    </row>
    <row r="26" spans="1:7" x14ac:dyDescent="0.3">
      <c r="A26" s="99" t="s">
        <v>70</v>
      </c>
      <c r="B26" s="103">
        <f>'Milestone Income Statement'!B20/'Milestone Balance Sheet'!B21</f>
        <v>6.0997472501798926E-2</v>
      </c>
      <c r="C26" s="103">
        <f>'Milestone Income Statement'!C20/'Milestone Balance Sheet'!C21</f>
        <v>2.398579968273357E-2</v>
      </c>
      <c r="D26" s="103">
        <f>'Milestone Income Statement'!D20/'Milestone Balance Sheet'!D21</f>
        <v>6.4563025805011096E-2</v>
      </c>
      <c r="E26" s="103">
        <f>'Milestone Income Statement'!E20/'Milestone Balance Sheet'!E21</f>
        <v>-3.0440282701025899E-3</v>
      </c>
      <c r="F26" s="103">
        <f>'Milestone Income Statement'!F20/'Milestone Balance Sheet'!F21</f>
        <v>4.8209133827141114E-2</v>
      </c>
    </row>
    <row r="27" spans="1:7" x14ac:dyDescent="0.3">
      <c r="A27" s="97" t="s">
        <v>71</v>
      </c>
      <c r="B27" s="102">
        <f>'Milestone Income Statement'!B20/'Milestone Income Statement'!B7</f>
        <v>0.2399498393429231</v>
      </c>
      <c r="C27" s="102">
        <f>'Milestone Income Statement'!C20/'Milestone Income Statement'!C7</f>
        <v>0.10276756213054949</v>
      </c>
      <c r="D27" s="102">
        <f>'Milestone Income Statement'!D20/'Milestone Income Statement'!D7</f>
        <v>0.24363416281183287</v>
      </c>
      <c r="E27" s="102">
        <f>'Milestone Income Statement'!E20/'Milestone Income Statement'!E7</f>
        <v>-1.298172600614886E-2</v>
      </c>
      <c r="F27" s="102">
        <f>'Milestone Income Statement'!F20/'Milestone Income Statement'!F7</f>
        <v>0.16791749743571571</v>
      </c>
    </row>
  </sheetData>
  <mergeCells count="3">
    <mergeCell ref="A1:F1"/>
    <mergeCell ref="A2:F2"/>
    <mergeCell ref="A3: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B9820-94CC-44C9-AC43-9B39688CB62D}">
  <sheetPr>
    <tabColor rgb="FF00B050"/>
  </sheetPr>
  <dimension ref="A1:N54"/>
  <sheetViews>
    <sheetView topLeftCell="A46" zoomScale="125" zoomScaleNormal="125" workbookViewId="0">
      <selection activeCell="D53" sqref="D53"/>
    </sheetView>
  </sheetViews>
  <sheetFormatPr defaultColWidth="8.88671875" defaultRowHeight="14.4" x14ac:dyDescent="0.3"/>
  <cols>
    <col min="1" max="1" width="47.109375" customWidth="1"/>
    <col min="2" max="2" width="19.44140625" style="10" customWidth="1"/>
    <col min="3" max="5" width="19.44140625" customWidth="1"/>
    <col min="6" max="6" width="25.33203125" style="10" customWidth="1"/>
    <col min="7" max="7" width="7.6640625" customWidth="1"/>
    <col min="8" max="11" width="12.44140625" customWidth="1"/>
    <col min="12" max="12" width="15.109375" customWidth="1"/>
  </cols>
  <sheetData>
    <row r="1" spans="1:13" ht="15.6" x14ac:dyDescent="0.3">
      <c r="A1" s="161" t="s">
        <v>0</v>
      </c>
      <c r="B1" s="162"/>
      <c r="C1" s="162"/>
      <c r="D1" s="162"/>
      <c r="E1" s="162"/>
      <c r="F1" s="162"/>
      <c r="G1" s="162"/>
      <c r="H1" s="162"/>
      <c r="I1" s="162"/>
      <c r="J1" s="162"/>
      <c r="K1" s="162"/>
      <c r="L1" s="162"/>
    </row>
    <row r="2" spans="1:13" ht="15.6" x14ac:dyDescent="0.3">
      <c r="A2" s="161" t="s">
        <v>1</v>
      </c>
      <c r="B2" s="162"/>
      <c r="C2" s="162"/>
      <c r="D2" s="162"/>
      <c r="E2" s="162"/>
      <c r="F2" s="162"/>
      <c r="G2" s="162"/>
      <c r="H2" s="162"/>
      <c r="I2" s="162"/>
      <c r="J2" s="162"/>
      <c r="K2" s="162"/>
      <c r="L2" s="162"/>
    </row>
    <row r="3" spans="1:13" ht="15.6" x14ac:dyDescent="0.3">
      <c r="A3" s="161" t="s">
        <v>2</v>
      </c>
      <c r="B3" s="162"/>
      <c r="C3" s="162"/>
      <c r="D3" s="162"/>
      <c r="E3" s="162"/>
      <c r="F3" s="162"/>
      <c r="G3" s="162"/>
      <c r="H3" s="162"/>
      <c r="I3" s="162"/>
      <c r="J3" s="162"/>
      <c r="K3" s="162"/>
      <c r="L3" s="162"/>
    </row>
    <row r="4" spans="1:13" ht="15.6" x14ac:dyDescent="0.3">
      <c r="A4" s="161" t="s">
        <v>3</v>
      </c>
      <c r="B4" s="162"/>
      <c r="C4" s="162"/>
      <c r="D4" s="162"/>
      <c r="E4" s="162"/>
      <c r="F4" s="162"/>
      <c r="G4" s="162"/>
      <c r="H4" s="162"/>
      <c r="I4" s="162"/>
      <c r="J4" s="162"/>
      <c r="K4" s="162"/>
      <c r="L4" s="162"/>
    </row>
    <row r="5" spans="1:13" ht="15.6" x14ac:dyDescent="0.3">
      <c r="A5" s="21"/>
      <c r="B5" s="152" t="s">
        <v>4</v>
      </c>
      <c r="C5" s="153"/>
      <c r="D5" s="153"/>
      <c r="E5" s="153"/>
      <c r="F5" s="154"/>
      <c r="G5" s="22"/>
      <c r="H5" s="152" t="s">
        <v>5</v>
      </c>
      <c r="I5" s="153"/>
      <c r="J5" s="153"/>
      <c r="K5" s="153"/>
      <c r="L5" s="154"/>
    </row>
    <row r="6" spans="1:13" x14ac:dyDescent="0.3">
      <c r="A6" s="22"/>
      <c r="B6" s="23" t="e">
        <f>C6-1</f>
        <v>#VALUE!</v>
      </c>
      <c r="C6" s="24" t="e">
        <f>D6-1</f>
        <v>#VALUE!</v>
      </c>
      <c r="D6" s="24" t="e">
        <f>E6-1</f>
        <v>#VALUE!</v>
      </c>
      <c r="E6" s="24" t="e">
        <f>F6-1</f>
        <v>#VALUE!</v>
      </c>
      <c r="F6" s="25" t="s">
        <v>72</v>
      </c>
      <c r="G6" s="22"/>
      <c r="H6" s="23" t="e">
        <f>B6</f>
        <v>#VALUE!</v>
      </c>
      <c r="I6" s="24" t="e">
        <f>C6</f>
        <v>#VALUE!</v>
      </c>
      <c r="J6" s="24" t="e">
        <f>D6</f>
        <v>#VALUE!</v>
      </c>
      <c r="K6" s="24" t="e">
        <f>E6</f>
        <v>#VALUE!</v>
      </c>
      <c r="L6" s="25" t="str">
        <f>F6</f>
        <v>[insert most current year]</v>
      </c>
    </row>
    <row r="7" spans="1:13" ht="17.399999999999999" x14ac:dyDescent="0.35">
      <c r="A7" s="26" t="s">
        <v>6</v>
      </c>
      <c r="B7" s="27"/>
      <c r="C7" s="27"/>
      <c r="D7" s="27"/>
      <c r="E7" s="27"/>
      <c r="F7" s="27"/>
      <c r="G7" s="135"/>
      <c r="H7" s="27"/>
      <c r="I7" s="27"/>
      <c r="J7" s="27"/>
      <c r="K7" s="27"/>
      <c r="L7" s="27"/>
      <c r="M7" s="11"/>
    </row>
    <row r="8" spans="1:13" ht="15.6" x14ac:dyDescent="0.3">
      <c r="A8" s="28" t="s">
        <v>7</v>
      </c>
      <c r="B8" s="29"/>
      <c r="C8" s="29"/>
      <c r="D8" s="29"/>
      <c r="E8" s="29"/>
      <c r="F8" s="29"/>
      <c r="G8" s="44"/>
      <c r="H8" s="29"/>
      <c r="I8" s="29"/>
      <c r="J8" s="29"/>
      <c r="K8" s="29"/>
      <c r="L8" s="29"/>
    </row>
    <row r="9" spans="1:13" x14ac:dyDescent="0.3">
      <c r="A9" s="30" t="s">
        <v>8</v>
      </c>
      <c r="B9" s="31" t="s">
        <v>9</v>
      </c>
      <c r="C9" s="31" t="s">
        <v>9</v>
      </c>
      <c r="D9" s="31" t="s">
        <v>9</v>
      </c>
      <c r="E9" s="31" t="s">
        <v>9</v>
      </c>
      <c r="F9" s="31" t="s">
        <v>9</v>
      </c>
      <c r="G9" s="32"/>
      <c r="H9" s="33" t="e">
        <f t="shared" ref="H9:L12" si="0">B9/B$21</f>
        <v>#VALUE!</v>
      </c>
      <c r="I9" s="33" t="e">
        <f t="shared" si="0"/>
        <v>#VALUE!</v>
      </c>
      <c r="J9" s="33" t="e">
        <f>D9/D$21</f>
        <v>#VALUE!</v>
      </c>
      <c r="K9" s="33" t="e">
        <f>E9/E$21</f>
        <v>#VALUE!</v>
      </c>
      <c r="L9" s="33" t="e">
        <f>F9/F$21</f>
        <v>#VALUE!</v>
      </c>
    </row>
    <row r="10" spans="1:13" ht="15.6" x14ac:dyDescent="0.3">
      <c r="A10" s="34" t="s">
        <v>73</v>
      </c>
      <c r="B10" s="74" t="s">
        <v>9</v>
      </c>
      <c r="C10" s="74" t="s">
        <v>9</v>
      </c>
      <c r="D10" s="74" t="s">
        <v>9</v>
      </c>
      <c r="E10" s="74" t="s">
        <v>9</v>
      </c>
      <c r="F10" s="74" t="s">
        <v>9</v>
      </c>
      <c r="G10" s="35"/>
      <c r="H10" s="33" t="e">
        <f t="shared" si="0"/>
        <v>#VALUE!</v>
      </c>
      <c r="I10" s="33" t="e">
        <f t="shared" si="0"/>
        <v>#VALUE!</v>
      </c>
      <c r="J10" s="33" t="e">
        <f t="shared" si="0"/>
        <v>#VALUE!</v>
      </c>
      <c r="K10" s="33" t="e">
        <f t="shared" si="0"/>
        <v>#VALUE!</v>
      </c>
      <c r="L10" s="33" t="e">
        <f t="shared" si="0"/>
        <v>#VALUE!</v>
      </c>
    </row>
    <row r="11" spans="1:13" x14ac:dyDescent="0.3">
      <c r="A11" s="30" t="s">
        <v>11</v>
      </c>
      <c r="B11" s="31" t="s">
        <v>9</v>
      </c>
      <c r="C11" s="31" t="s">
        <v>9</v>
      </c>
      <c r="D11" s="31" t="s">
        <v>9</v>
      </c>
      <c r="E11" s="31" t="s">
        <v>9</v>
      </c>
      <c r="F11" s="31" t="s">
        <v>9</v>
      </c>
      <c r="G11" s="32"/>
      <c r="H11" s="33" t="e">
        <f t="shared" si="0"/>
        <v>#VALUE!</v>
      </c>
      <c r="I11" s="33" t="e">
        <f t="shared" si="0"/>
        <v>#VALUE!</v>
      </c>
      <c r="J11" s="33" t="e">
        <f t="shared" si="0"/>
        <v>#VALUE!</v>
      </c>
      <c r="K11" s="33" t="e">
        <f t="shared" si="0"/>
        <v>#VALUE!</v>
      </c>
      <c r="L11" s="33" t="e">
        <f t="shared" si="0"/>
        <v>#VALUE!</v>
      </c>
    </row>
    <row r="12" spans="1:13" ht="15.6" x14ac:dyDescent="0.3">
      <c r="A12" s="34" t="s">
        <v>12</v>
      </c>
      <c r="B12" s="74" t="s">
        <v>9</v>
      </c>
      <c r="C12" s="74" t="s">
        <v>9</v>
      </c>
      <c r="D12" s="74" t="s">
        <v>9</v>
      </c>
      <c r="E12" s="74" t="s">
        <v>9</v>
      </c>
      <c r="F12" s="74" t="s">
        <v>9</v>
      </c>
      <c r="G12" s="35"/>
      <c r="H12" s="33" t="e">
        <f t="shared" si="0"/>
        <v>#VALUE!</v>
      </c>
      <c r="I12" s="33" t="e">
        <f t="shared" si="0"/>
        <v>#VALUE!</v>
      </c>
      <c r="J12" s="33" t="e">
        <f t="shared" si="0"/>
        <v>#VALUE!</v>
      </c>
      <c r="K12" s="33" t="e">
        <f t="shared" si="0"/>
        <v>#VALUE!</v>
      </c>
      <c r="L12" s="33" t="e">
        <f t="shared" si="0"/>
        <v>#VALUE!</v>
      </c>
    </row>
    <row r="13" spans="1:13" x14ac:dyDescent="0.3">
      <c r="A13" s="55" t="s">
        <v>13</v>
      </c>
      <c r="B13" s="56">
        <f>SUM(B9:B12)</f>
        <v>0</v>
      </c>
      <c r="C13" s="56">
        <f>SUM(C9:C12)</f>
        <v>0</v>
      </c>
      <c r="D13" s="56">
        <f>SUM(D9:D12)</f>
        <v>0</v>
      </c>
      <c r="E13" s="56">
        <f>SUM(E9:E12)</f>
        <v>0</v>
      </c>
      <c r="F13" s="56">
        <f>SUM(F9:F12)</f>
        <v>0</v>
      </c>
      <c r="G13" s="57"/>
      <c r="H13" s="58" t="e">
        <f>SUM(H9:H12)</f>
        <v>#VALUE!</v>
      </c>
      <c r="I13" s="58" t="e">
        <f>SUM(I9:I12)</f>
        <v>#VALUE!</v>
      </c>
      <c r="J13" s="58" t="e">
        <f>SUM(J9:J12)</f>
        <v>#VALUE!</v>
      </c>
      <c r="K13" s="58" t="e">
        <f>SUM(K9:K12)</f>
        <v>#VALUE!</v>
      </c>
      <c r="L13" s="58" t="e">
        <f>SUM(L9:L12)</f>
        <v>#VALUE!</v>
      </c>
    </row>
    <row r="14" spans="1:13" ht="15" customHeight="1" x14ac:dyDescent="0.3">
      <c r="A14" s="22"/>
      <c r="B14" s="39"/>
      <c r="C14" s="39"/>
      <c r="D14" s="39"/>
      <c r="E14" s="39"/>
      <c r="F14" s="39"/>
      <c r="G14" s="39"/>
      <c r="H14" s="39"/>
      <c r="I14" s="39"/>
      <c r="J14" s="39"/>
      <c r="K14" s="39"/>
      <c r="L14" s="39"/>
    </row>
    <row r="15" spans="1:13" ht="15.6" x14ac:dyDescent="0.3">
      <c r="A15" s="28" t="s">
        <v>14</v>
      </c>
      <c r="B15" s="40"/>
      <c r="C15" s="40"/>
      <c r="D15" s="40"/>
      <c r="E15" s="40"/>
      <c r="F15" s="40"/>
      <c r="G15" s="39"/>
      <c r="H15" s="40"/>
      <c r="I15" s="40"/>
      <c r="J15" s="40"/>
      <c r="K15" s="40"/>
      <c r="L15" s="40"/>
    </row>
    <row r="16" spans="1:13" x14ac:dyDescent="0.3">
      <c r="A16" s="30" t="s">
        <v>74</v>
      </c>
      <c r="B16" s="31" t="s">
        <v>9</v>
      </c>
      <c r="C16" s="31" t="s">
        <v>9</v>
      </c>
      <c r="D16" s="31" t="s">
        <v>9</v>
      </c>
      <c r="E16" s="31" t="s">
        <v>9</v>
      </c>
      <c r="F16" s="31" t="s">
        <v>9</v>
      </c>
      <c r="G16" s="32"/>
      <c r="H16" s="33" t="e">
        <f t="shared" ref="H16:L18" si="1">B16/B$21</f>
        <v>#VALUE!</v>
      </c>
      <c r="I16" s="33" t="e">
        <f t="shared" si="1"/>
        <v>#VALUE!</v>
      </c>
      <c r="J16" s="33" t="e">
        <f t="shared" si="1"/>
        <v>#VALUE!</v>
      </c>
      <c r="K16" s="33" t="e">
        <f t="shared" si="1"/>
        <v>#VALUE!</v>
      </c>
      <c r="L16" s="33" t="e">
        <f t="shared" si="1"/>
        <v>#VALUE!</v>
      </c>
    </row>
    <row r="17" spans="1:14" ht="15.6" x14ac:dyDescent="0.3">
      <c r="A17" s="34" t="s">
        <v>16</v>
      </c>
      <c r="B17" s="74" t="s">
        <v>9</v>
      </c>
      <c r="C17" s="74" t="s">
        <v>9</v>
      </c>
      <c r="D17" s="74" t="s">
        <v>9</v>
      </c>
      <c r="E17" s="74" t="s">
        <v>9</v>
      </c>
      <c r="F17" s="74" t="s">
        <v>9</v>
      </c>
      <c r="G17" s="41"/>
      <c r="H17" s="33" t="e">
        <f t="shared" si="1"/>
        <v>#VALUE!</v>
      </c>
      <c r="I17" s="33" t="e">
        <f t="shared" si="1"/>
        <v>#VALUE!</v>
      </c>
      <c r="J17" s="33" t="e">
        <f t="shared" si="1"/>
        <v>#VALUE!</v>
      </c>
      <c r="K17" s="33" t="e">
        <f t="shared" si="1"/>
        <v>#VALUE!</v>
      </c>
      <c r="L17" s="33" t="e">
        <f t="shared" si="1"/>
        <v>#VALUE!</v>
      </c>
    </row>
    <row r="18" spans="1:14" x14ac:dyDescent="0.3">
      <c r="A18" s="30" t="s">
        <v>17</v>
      </c>
      <c r="B18" s="31" t="s">
        <v>9</v>
      </c>
      <c r="C18" s="31" t="s">
        <v>9</v>
      </c>
      <c r="D18" s="31" t="s">
        <v>9</v>
      </c>
      <c r="E18" s="31" t="s">
        <v>9</v>
      </c>
      <c r="F18" s="31" t="s">
        <v>9</v>
      </c>
      <c r="G18" s="32"/>
      <c r="H18" s="33" t="e">
        <f t="shared" si="1"/>
        <v>#VALUE!</v>
      </c>
      <c r="I18" s="33" t="e">
        <f t="shared" si="1"/>
        <v>#VALUE!</v>
      </c>
      <c r="J18" s="33" t="e">
        <f t="shared" si="1"/>
        <v>#VALUE!</v>
      </c>
      <c r="K18" s="33" t="e">
        <f t="shared" si="1"/>
        <v>#VALUE!</v>
      </c>
      <c r="L18" s="33" t="e">
        <f t="shared" si="1"/>
        <v>#VALUE!</v>
      </c>
    </row>
    <row r="19" spans="1:14" x14ac:dyDescent="0.3">
      <c r="A19" s="55" t="s">
        <v>18</v>
      </c>
      <c r="B19" s="59">
        <f>SUM(B16:B18)</f>
        <v>0</v>
      </c>
      <c r="C19" s="59">
        <f>SUM(C16:C18)</f>
        <v>0</v>
      </c>
      <c r="D19" s="59">
        <f>SUM(D16:D18)</f>
        <v>0</v>
      </c>
      <c r="E19" s="59">
        <f>SUM(E16:E18)</f>
        <v>0</v>
      </c>
      <c r="F19" s="59">
        <f>SUM(F16:F18)</f>
        <v>0</v>
      </c>
      <c r="G19" s="57"/>
      <c r="H19" s="60" t="e">
        <f>SUM(H16:H18)</f>
        <v>#VALUE!</v>
      </c>
      <c r="I19" s="60" t="e">
        <f>SUM(I16:I18)</f>
        <v>#VALUE!</v>
      </c>
      <c r="J19" s="60" t="e">
        <f>SUM(J16:J18)</f>
        <v>#VALUE!</v>
      </c>
      <c r="K19" s="60" t="e">
        <f>SUM(K16:K18)</f>
        <v>#VALUE!</v>
      </c>
      <c r="L19" s="60" t="e">
        <f>SUM(L16:L18)</f>
        <v>#VALUE!</v>
      </c>
    </row>
    <row r="20" spans="1:14" x14ac:dyDescent="0.3">
      <c r="A20" s="22"/>
      <c r="B20" s="44"/>
      <c r="C20" s="44"/>
      <c r="D20" s="44"/>
      <c r="E20" s="44"/>
      <c r="F20" s="44"/>
      <c r="G20" s="44"/>
      <c r="H20" s="44"/>
      <c r="I20" s="44"/>
      <c r="J20" s="44"/>
      <c r="K20" s="44"/>
      <c r="L20" s="44"/>
    </row>
    <row r="21" spans="1:14" ht="17.399999999999999" x14ac:dyDescent="0.35">
      <c r="A21" s="36" t="s">
        <v>19</v>
      </c>
      <c r="B21" s="42">
        <f>B13+B19</f>
        <v>0</v>
      </c>
      <c r="C21" s="42">
        <f>C13+C19</f>
        <v>0</v>
      </c>
      <c r="D21" s="42">
        <f>D13+D19</f>
        <v>0</v>
      </c>
      <c r="E21" s="42">
        <f>E13+E19</f>
        <v>0</v>
      </c>
      <c r="F21" s="42">
        <f>F13+F19</f>
        <v>0</v>
      </c>
      <c r="G21" s="134"/>
      <c r="H21" s="43" t="e">
        <f>H13+H19</f>
        <v>#VALUE!</v>
      </c>
      <c r="I21" s="43" t="e">
        <f>I13+I19</f>
        <v>#VALUE!</v>
      </c>
      <c r="J21" s="43" t="e">
        <f>J13+J19</f>
        <v>#VALUE!</v>
      </c>
      <c r="K21" s="43" t="e">
        <f>K13+K19</f>
        <v>#VALUE!</v>
      </c>
      <c r="L21" s="43" t="e">
        <f>L13+L19</f>
        <v>#VALUE!</v>
      </c>
    </row>
    <row r="22" spans="1:14" x14ac:dyDescent="0.3">
      <c r="A22" s="22"/>
      <c r="B22" s="44"/>
      <c r="C22" s="44"/>
      <c r="D22" s="44"/>
      <c r="E22" s="44"/>
      <c r="F22" s="44"/>
      <c r="G22" s="44"/>
      <c r="H22" s="44"/>
      <c r="I22" s="44"/>
      <c r="J22" s="44"/>
      <c r="K22" s="44"/>
      <c r="L22" s="44"/>
    </row>
    <row r="23" spans="1:14" ht="17.399999999999999" x14ac:dyDescent="0.35">
      <c r="A23" s="26" t="s">
        <v>20</v>
      </c>
      <c r="B23" s="27"/>
      <c r="C23" s="27"/>
      <c r="D23" s="27"/>
      <c r="E23" s="27"/>
      <c r="F23" s="27"/>
      <c r="G23" s="135"/>
      <c r="H23" s="27"/>
      <c r="I23" s="27"/>
      <c r="J23" s="27"/>
      <c r="K23" s="27"/>
      <c r="L23" s="27"/>
    </row>
    <row r="24" spans="1:14" ht="15.6" x14ac:dyDescent="0.3">
      <c r="A24" s="28" t="s">
        <v>21</v>
      </c>
      <c r="B24" s="40"/>
      <c r="C24" s="40"/>
      <c r="D24" s="40"/>
      <c r="E24" s="40"/>
      <c r="F24" s="40"/>
      <c r="G24" s="39" t="s">
        <v>22</v>
      </c>
      <c r="H24" s="40"/>
      <c r="I24" s="40"/>
      <c r="J24" s="40"/>
      <c r="K24" s="40"/>
      <c r="L24" s="40"/>
    </row>
    <row r="25" spans="1:14" x14ac:dyDescent="0.3">
      <c r="A25" s="45" t="s">
        <v>23</v>
      </c>
      <c r="B25" s="31" t="s">
        <v>9</v>
      </c>
      <c r="C25" s="31" t="s">
        <v>9</v>
      </c>
      <c r="D25" s="31" t="s">
        <v>9</v>
      </c>
      <c r="E25" s="31" t="s">
        <v>9</v>
      </c>
      <c r="F25" s="31" t="s">
        <v>9</v>
      </c>
      <c r="G25" s="32"/>
      <c r="H25" s="33" t="e">
        <f t="shared" ref="H25:L27" si="2">B25/B$21</f>
        <v>#VALUE!</v>
      </c>
      <c r="I25" s="33" t="e">
        <f t="shared" si="2"/>
        <v>#VALUE!</v>
      </c>
      <c r="J25" s="33" t="e">
        <f t="shared" si="2"/>
        <v>#VALUE!</v>
      </c>
      <c r="K25" s="33" t="e">
        <f t="shared" si="2"/>
        <v>#VALUE!</v>
      </c>
      <c r="L25" s="33" t="e">
        <f t="shared" si="2"/>
        <v>#VALUE!</v>
      </c>
    </row>
    <row r="26" spans="1:14" x14ac:dyDescent="0.3">
      <c r="A26" s="34" t="s">
        <v>24</v>
      </c>
      <c r="B26" s="74" t="s">
        <v>9</v>
      </c>
      <c r="C26" s="74" t="s">
        <v>9</v>
      </c>
      <c r="D26" s="74" t="s">
        <v>9</v>
      </c>
      <c r="E26" s="74" t="s">
        <v>9</v>
      </c>
      <c r="F26" s="74" t="s">
        <v>9</v>
      </c>
      <c r="G26" s="32"/>
      <c r="H26" s="33" t="e">
        <f t="shared" si="2"/>
        <v>#VALUE!</v>
      </c>
      <c r="I26" s="33" t="e">
        <f t="shared" si="2"/>
        <v>#VALUE!</v>
      </c>
      <c r="J26" s="33" t="e">
        <f t="shared" si="2"/>
        <v>#VALUE!</v>
      </c>
      <c r="K26" s="33" t="e">
        <f t="shared" si="2"/>
        <v>#VALUE!</v>
      </c>
      <c r="L26" s="33" t="e">
        <f t="shared" si="2"/>
        <v>#VALUE!</v>
      </c>
    </row>
    <row r="27" spans="1:14" x14ac:dyDescent="0.3">
      <c r="A27" s="45" t="s">
        <v>25</v>
      </c>
      <c r="B27" s="31" t="s">
        <v>9</v>
      </c>
      <c r="C27" s="31" t="s">
        <v>9</v>
      </c>
      <c r="D27" s="31" t="s">
        <v>9</v>
      </c>
      <c r="E27" s="31" t="s">
        <v>9</v>
      </c>
      <c r="F27" s="31" t="s">
        <v>9</v>
      </c>
      <c r="G27" s="32"/>
      <c r="H27" s="33" t="e">
        <f t="shared" si="2"/>
        <v>#VALUE!</v>
      </c>
      <c r="I27" s="33" t="e">
        <f t="shared" si="2"/>
        <v>#VALUE!</v>
      </c>
      <c r="J27" s="33" t="e">
        <f t="shared" si="2"/>
        <v>#VALUE!</v>
      </c>
      <c r="K27" s="33" t="e">
        <f t="shared" si="2"/>
        <v>#VALUE!</v>
      </c>
      <c r="L27" s="33" t="e">
        <f t="shared" si="2"/>
        <v>#VALUE!</v>
      </c>
    </row>
    <row r="28" spans="1:14" x14ac:dyDescent="0.3">
      <c r="A28" s="55" t="s">
        <v>26</v>
      </c>
      <c r="B28" s="56">
        <f>SUM(B25:B27)</f>
        <v>0</v>
      </c>
      <c r="C28" s="56">
        <f>SUM(C25:C27)</f>
        <v>0</v>
      </c>
      <c r="D28" s="56">
        <f>SUM(D25:D27)</f>
        <v>0</v>
      </c>
      <c r="E28" s="56">
        <f>SUM(E25:E27)</f>
        <v>0</v>
      </c>
      <c r="F28" s="56">
        <f>SUM(F25:F27)</f>
        <v>0</v>
      </c>
      <c r="G28" s="57"/>
      <c r="H28" s="58" t="e">
        <f>SUM(H25:H27)</f>
        <v>#VALUE!</v>
      </c>
      <c r="I28" s="58" t="e">
        <f>SUM(I25:I27)</f>
        <v>#VALUE!</v>
      </c>
      <c r="J28" s="58" t="e">
        <f>SUM(J25:J27)</f>
        <v>#VALUE!</v>
      </c>
      <c r="K28" s="58" t="e">
        <f>SUM(K25:K27)</f>
        <v>#VALUE!</v>
      </c>
      <c r="L28" s="58" t="e">
        <f>SUM(L25:L27)</f>
        <v>#VALUE!</v>
      </c>
    </row>
    <row r="29" spans="1:14" ht="15.6" x14ac:dyDescent="0.3">
      <c r="A29" s="46"/>
      <c r="B29" s="47"/>
      <c r="C29" s="47"/>
      <c r="D29" s="47"/>
      <c r="E29" s="47"/>
      <c r="F29" s="47"/>
      <c r="G29" s="47"/>
      <c r="H29" s="47"/>
      <c r="I29" s="47"/>
      <c r="J29" s="47"/>
      <c r="K29" s="47"/>
      <c r="L29" s="47"/>
    </row>
    <row r="30" spans="1:14" ht="15.6" x14ac:dyDescent="0.3">
      <c r="A30" s="28" t="s">
        <v>27</v>
      </c>
      <c r="B30" s="40"/>
      <c r="C30" s="40"/>
      <c r="D30" s="40"/>
      <c r="E30" s="40"/>
      <c r="F30" s="40"/>
      <c r="G30" s="39"/>
      <c r="H30" s="40"/>
      <c r="I30" s="40"/>
      <c r="J30" s="40"/>
      <c r="K30" s="40"/>
      <c r="L30" s="40"/>
      <c r="M30" s="2"/>
      <c r="N30" s="8"/>
    </row>
    <row r="31" spans="1:14" ht="15.6" x14ac:dyDescent="0.3">
      <c r="A31" s="45" t="s">
        <v>28</v>
      </c>
      <c r="B31" s="31" t="s">
        <v>9</v>
      </c>
      <c r="C31" s="31" t="s">
        <v>9</v>
      </c>
      <c r="D31" s="31" t="s">
        <v>9</v>
      </c>
      <c r="E31" s="31" t="s">
        <v>9</v>
      </c>
      <c r="F31" s="31" t="s">
        <v>9</v>
      </c>
      <c r="G31" s="32"/>
      <c r="H31" s="33" t="e">
        <f>B31/B$21</f>
        <v>#VALUE!</v>
      </c>
      <c r="I31" s="33" t="e">
        <f>C31/C$21</f>
        <v>#VALUE!</v>
      </c>
      <c r="J31" s="33" t="e">
        <f t="shared" ref="J31:L32" si="3">D31/D$21</f>
        <v>#VALUE!</v>
      </c>
      <c r="K31" s="33" t="e">
        <f t="shared" si="3"/>
        <v>#VALUE!</v>
      </c>
      <c r="L31" s="33" t="e">
        <f t="shared" si="3"/>
        <v>#VALUE!</v>
      </c>
      <c r="M31" s="5"/>
      <c r="N31" s="8"/>
    </row>
    <row r="32" spans="1:14" ht="15.6" x14ac:dyDescent="0.3">
      <c r="A32" s="34" t="s">
        <v>29</v>
      </c>
      <c r="B32" s="74" t="s">
        <v>9</v>
      </c>
      <c r="C32" s="74" t="s">
        <v>9</v>
      </c>
      <c r="D32" s="74" t="s">
        <v>9</v>
      </c>
      <c r="E32" s="74" t="s">
        <v>9</v>
      </c>
      <c r="F32" s="74" t="s">
        <v>9</v>
      </c>
      <c r="G32" s="35"/>
      <c r="H32" s="33" t="e">
        <f>B32/B$21</f>
        <v>#VALUE!</v>
      </c>
      <c r="I32" s="33" t="e">
        <f>C32/C$21</f>
        <v>#VALUE!</v>
      </c>
      <c r="J32" s="33" t="e">
        <f t="shared" si="3"/>
        <v>#VALUE!</v>
      </c>
      <c r="K32" s="33" t="e">
        <f t="shared" si="3"/>
        <v>#VALUE!</v>
      </c>
      <c r="L32" s="33" t="e">
        <f t="shared" si="3"/>
        <v>#VALUE!</v>
      </c>
      <c r="M32" s="6"/>
      <c r="N32" s="8"/>
    </row>
    <row r="33" spans="1:14" ht="15.6" x14ac:dyDescent="0.3">
      <c r="A33" s="55" t="s">
        <v>30</v>
      </c>
      <c r="B33" s="56">
        <f>SUM(B31:B32)</f>
        <v>0</v>
      </c>
      <c r="C33" s="56">
        <f>SUM(C31:C32)</f>
        <v>0</v>
      </c>
      <c r="D33" s="56">
        <f>SUM(D31:D32)</f>
        <v>0</v>
      </c>
      <c r="E33" s="56">
        <f>SUM(E31:E32)</f>
        <v>0</v>
      </c>
      <c r="F33" s="56">
        <f>SUM(F31:F32)</f>
        <v>0</v>
      </c>
      <c r="G33" s="57"/>
      <c r="H33" s="58" t="e">
        <f>SUM(H31:H32)</f>
        <v>#VALUE!</v>
      </c>
      <c r="I33" s="58" t="e">
        <f>SUM(I31:I32)</f>
        <v>#VALUE!</v>
      </c>
      <c r="J33" s="58" t="e">
        <f>SUM(J31:J32)</f>
        <v>#VALUE!</v>
      </c>
      <c r="K33" s="58" t="e">
        <f>SUM(K31:K32)</f>
        <v>#VALUE!</v>
      </c>
      <c r="L33" s="58" t="e">
        <f>SUM(L31:L32)</f>
        <v>#VALUE!</v>
      </c>
      <c r="M33" s="7"/>
      <c r="N33" s="8"/>
    </row>
    <row r="34" spans="1:14" ht="15.6" x14ac:dyDescent="0.3">
      <c r="A34" s="48"/>
      <c r="B34" s="49"/>
      <c r="C34" s="49"/>
      <c r="D34" s="49"/>
      <c r="E34" s="49"/>
      <c r="F34" s="49"/>
      <c r="G34" s="39"/>
      <c r="H34" s="39"/>
      <c r="I34" s="39"/>
      <c r="J34" s="39"/>
      <c r="K34" s="39"/>
      <c r="L34" s="39"/>
      <c r="M34" s="2"/>
      <c r="N34" s="8"/>
    </row>
    <row r="35" spans="1:14" x14ac:dyDescent="0.3">
      <c r="A35" s="55" t="s">
        <v>31</v>
      </c>
      <c r="B35" s="59">
        <f>B28+B33</f>
        <v>0</v>
      </c>
      <c r="C35" s="59">
        <f>C28+C33</f>
        <v>0</v>
      </c>
      <c r="D35" s="59">
        <f>D28+D33</f>
        <v>0</v>
      </c>
      <c r="E35" s="59">
        <f>E28+E33</f>
        <v>0</v>
      </c>
      <c r="F35" s="59">
        <f>F28+F33</f>
        <v>0</v>
      </c>
      <c r="G35" s="57"/>
      <c r="H35" s="60" t="e">
        <f>H28+H33</f>
        <v>#VALUE!</v>
      </c>
      <c r="I35" s="60" t="e">
        <f>I28+I33</f>
        <v>#VALUE!</v>
      </c>
      <c r="J35" s="60" t="e">
        <f>J28+J33</f>
        <v>#VALUE!</v>
      </c>
      <c r="K35" s="60" t="e">
        <f>K28+K33</f>
        <v>#VALUE!</v>
      </c>
      <c r="L35" s="60" t="e">
        <f>L28+L33</f>
        <v>#VALUE!</v>
      </c>
    </row>
    <row r="36" spans="1:14" ht="15.6" x14ac:dyDescent="0.3">
      <c r="A36" s="50"/>
      <c r="B36" s="51"/>
      <c r="C36" s="51"/>
      <c r="D36" s="51"/>
      <c r="E36" s="51"/>
      <c r="F36" s="51"/>
      <c r="G36" s="52"/>
      <c r="H36" s="52"/>
      <c r="I36" s="52"/>
      <c r="J36" s="52"/>
      <c r="K36" s="52"/>
      <c r="L36" s="52"/>
      <c r="M36" s="2"/>
    </row>
    <row r="37" spans="1:14" ht="15.6" x14ac:dyDescent="0.3">
      <c r="A37" s="28" t="s">
        <v>32</v>
      </c>
      <c r="B37" s="54"/>
      <c r="C37" s="54"/>
      <c r="D37" s="54"/>
      <c r="E37" s="54"/>
      <c r="F37" s="54"/>
      <c r="G37" s="39"/>
      <c r="H37" s="40"/>
      <c r="I37" s="40"/>
      <c r="J37" s="40"/>
      <c r="K37" s="40"/>
      <c r="L37" s="40"/>
      <c r="M37" s="3"/>
    </row>
    <row r="38" spans="1:14" x14ac:dyDescent="0.3">
      <c r="A38" s="30" t="s">
        <v>33</v>
      </c>
      <c r="B38" s="31" t="s">
        <v>9</v>
      </c>
      <c r="C38" s="31" t="s">
        <v>9</v>
      </c>
      <c r="D38" s="31" t="s">
        <v>9</v>
      </c>
      <c r="E38" s="31" t="s">
        <v>9</v>
      </c>
      <c r="F38" s="31" t="s">
        <v>9</v>
      </c>
      <c r="G38" s="32"/>
      <c r="H38" s="33" t="e">
        <f t="shared" ref="H38:L41" si="4">B38/B$21</f>
        <v>#VALUE!</v>
      </c>
      <c r="I38" s="33" t="e">
        <f t="shared" si="4"/>
        <v>#VALUE!</v>
      </c>
      <c r="J38" s="33" t="e">
        <f t="shared" si="4"/>
        <v>#VALUE!</v>
      </c>
      <c r="K38" s="33" t="e">
        <f t="shared" si="4"/>
        <v>#VALUE!</v>
      </c>
      <c r="L38" s="33" t="e">
        <f t="shared" si="4"/>
        <v>#VALUE!</v>
      </c>
      <c r="N38" s="1"/>
    </row>
    <row r="39" spans="1:14" ht="15.6" x14ac:dyDescent="0.3">
      <c r="A39" s="34" t="s">
        <v>34</v>
      </c>
      <c r="B39" s="74" t="s">
        <v>9</v>
      </c>
      <c r="C39" s="74" t="s">
        <v>9</v>
      </c>
      <c r="D39" s="74" t="s">
        <v>9</v>
      </c>
      <c r="E39" s="74" t="s">
        <v>9</v>
      </c>
      <c r="F39" s="74" t="s">
        <v>9</v>
      </c>
      <c r="G39" s="35"/>
      <c r="H39" s="33" t="e">
        <f t="shared" si="4"/>
        <v>#VALUE!</v>
      </c>
      <c r="I39" s="33" t="e">
        <f t="shared" si="4"/>
        <v>#VALUE!</v>
      </c>
      <c r="J39" s="33" t="e">
        <f t="shared" si="4"/>
        <v>#VALUE!</v>
      </c>
      <c r="K39" s="33" t="e">
        <f t="shared" si="4"/>
        <v>#VALUE!</v>
      </c>
      <c r="L39" s="33" t="e">
        <f t="shared" si="4"/>
        <v>#VALUE!</v>
      </c>
    </row>
    <row r="40" spans="1:14" x14ac:dyDescent="0.3">
      <c r="A40" s="30" t="s">
        <v>35</v>
      </c>
      <c r="B40" s="31" t="s">
        <v>9</v>
      </c>
      <c r="C40" s="31" t="s">
        <v>9</v>
      </c>
      <c r="D40" s="31" t="s">
        <v>9</v>
      </c>
      <c r="E40" s="31" t="s">
        <v>9</v>
      </c>
      <c r="F40" s="31" t="s">
        <v>9</v>
      </c>
      <c r="G40" s="32"/>
      <c r="H40" s="33" t="e">
        <f t="shared" si="4"/>
        <v>#VALUE!</v>
      </c>
      <c r="I40" s="33" t="e">
        <f t="shared" si="4"/>
        <v>#VALUE!</v>
      </c>
      <c r="J40" s="33" t="e">
        <f t="shared" si="4"/>
        <v>#VALUE!</v>
      </c>
      <c r="K40" s="33" t="e">
        <f t="shared" si="4"/>
        <v>#VALUE!</v>
      </c>
      <c r="L40" s="33" t="e">
        <f t="shared" si="4"/>
        <v>#VALUE!</v>
      </c>
    </row>
    <row r="41" spans="1:14" ht="15.6" x14ac:dyDescent="0.3">
      <c r="A41" s="34" t="s">
        <v>36</v>
      </c>
      <c r="B41" s="74" t="s">
        <v>9</v>
      </c>
      <c r="C41" s="74" t="s">
        <v>9</v>
      </c>
      <c r="D41" s="74" t="s">
        <v>9</v>
      </c>
      <c r="E41" s="74" t="s">
        <v>9</v>
      </c>
      <c r="F41" s="74" t="s">
        <v>9</v>
      </c>
      <c r="G41" s="35"/>
      <c r="H41" s="33" t="e">
        <f t="shared" si="4"/>
        <v>#VALUE!</v>
      </c>
      <c r="I41" s="33" t="e">
        <f t="shared" si="4"/>
        <v>#VALUE!</v>
      </c>
      <c r="J41" s="33" t="e">
        <f t="shared" si="4"/>
        <v>#VALUE!</v>
      </c>
      <c r="K41" s="33" t="e">
        <f t="shared" si="4"/>
        <v>#VALUE!</v>
      </c>
      <c r="L41" s="33" t="e">
        <f t="shared" si="4"/>
        <v>#VALUE!</v>
      </c>
    </row>
    <row r="42" spans="1:14" x14ac:dyDescent="0.3">
      <c r="A42" s="55" t="s">
        <v>37</v>
      </c>
      <c r="B42" s="59">
        <f>SUM(B38:B41)</f>
        <v>0</v>
      </c>
      <c r="C42" s="59">
        <f>SUM(C38:C41)</f>
        <v>0</v>
      </c>
      <c r="D42" s="59">
        <f>SUM(D38:D41)</f>
        <v>0</v>
      </c>
      <c r="E42" s="59">
        <f>SUM(E38:E41)</f>
        <v>0</v>
      </c>
      <c r="F42" s="59">
        <f>SUM(F38:F41)</f>
        <v>0</v>
      </c>
      <c r="G42" s="57"/>
      <c r="H42" s="60" t="e">
        <f>SUM(H38:H41)</f>
        <v>#VALUE!</v>
      </c>
      <c r="I42" s="60" t="e">
        <f>SUM(I38:I41)</f>
        <v>#VALUE!</v>
      </c>
      <c r="J42" s="60" t="e">
        <f>SUM(J38:J41)</f>
        <v>#VALUE!</v>
      </c>
      <c r="K42" s="60" t="e">
        <f>SUM(K38:K41)</f>
        <v>#VALUE!</v>
      </c>
      <c r="L42" s="60" t="e">
        <f>SUM(L38:L41)</f>
        <v>#VALUE!</v>
      </c>
    </row>
    <row r="43" spans="1:14" ht="15.6" x14ac:dyDescent="0.3">
      <c r="A43" s="48"/>
      <c r="B43" s="39"/>
      <c r="C43" s="39"/>
      <c r="D43" s="39"/>
      <c r="E43" s="39"/>
      <c r="F43" s="39"/>
      <c r="G43" s="39"/>
      <c r="H43" s="22"/>
      <c r="I43" s="22"/>
      <c r="J43" s="22"/>
      <c r="K43" s="22"/>
      <c r="L43" s="22"/>
    </row>
    <row r="44" spans="1:14" x14ac:dyDescent="0.3">
      <c r="A44" s="22"/>
      <c r="B44" s="44"/>
      <c r="C44" s="44"/>
      <c r="D44" s="44"/>
      <c r="E44" s="44"/>
      <c r="F44" s="44"/>
      <c r="G44" s="44"/>
      <c r="H44" s="22"/>
      <c r="I44" s="22"/>
      <c r="J44" s="22"/>
      <c r="K44" s="22"/>
      <c r="L44" s="22"/>
    </row>
    <row r="45" spans="1:14" ht="17.399999999999999" x14ac:dyDescent="0.35">
      <c r="A45" s="61" t="s">
        <v>38</v>
      </c>
      <c r="B45" s="62">
        <f>B35+B42</f>
        <v>0</v>
      </c>
      <c r="C45" s="62">
        <f>C35+C42</f>
        <v>0</v>
      </c>
      <c r="D45" s="62">
        <f>D35+D42</f>
        <v>0</v>
      </c>
      <c r="E45" s="62">
        <f>E35+E42</f>
        <v>0</v>
      </c>
      <c r="F45" s="62">
        <f>F35+F42</f>
        <v>0</v>
      </c>
      <c r="G45" s="22"/>
      <c r="H45" s="63" t="e">
        <f>H35+H42</f>
        <v>#VALUE!</v>
      </c>
      <c r="I45" s="63" t="e">
        <f>I35+I42</f>
        <v>#VALUE!</v>
      </c>
      <c r="J45" s="63" t="e">
        <f>J35+J42</f>
        <v>#VALUE!</v>
      </c>
      <c r="K45" s="63" t="e">
        <f>K35+K42</f>
        <v>#VALUE!</v>
      </c>
      <c r="L45" s="63" t="e">
        <f>L35+L42</f>
        <v>#VALUE!</v>
      </c>
    </row>
    <row r="46" spans="1:14" ht="15.6" x14ac:dyDescent="0.3">
      <c r="A46" s="48"/>
      <c r="B46" s="39"/>
      <c r="C46" s="22"/>
      <c r="D46" s="22"/>
      <c r="E46" s="22"/>
      <c r="F46" s="44"/>
      <c r="G46" s="22"/>
      <c r="H46" s="22"/>
      <c r="I46" s="22"/>
      <c r="J46" s="22"/>
      <c r="K46" s="22"/>
      <c r="L46" s="22"/>
    </row>
    <row r="47" spans="1:14" ht="28.8" x14ac:dyDescent="0.3">
      <c r="A47" s="75" t="s">
        <v>39</v>
      </c>
      <c r="B47" s="44">
        <f>+B21-B45</f>
        <v>0</v>
      </c>
      <c r="C47" s="44">
        <f>+C21-C45</f>
        <v>0</v>
      </c>
      <c r="D47" s="44">
        <f>+D21-D45</f>
        <v>0</v>
      </c>
      <c r="E47" s="44">
        <f>+E21-E45</f>
        <v>0</v>
      </c>
      <c r="F47" s="44">
        <f>+F21-F45</f>
        <v>0</v>
      </c>
      <c r="G47" s="22"/>
      <c r="H47" s="22"/>
      <c r="I47" s="22"/>
      <c r="J47" s="22"/>
      <c r="K47" s="22"/>
      <c r="L47" s="22"/>
    </row>
    <row r="48" spans="1:14" x14ac:dyDescent="0.3">
      <c r="A48" s="22"/>
      <c r="B48" s="44"/>
      <c r="C48" s="22"/>
      <c r="D48" s="22"/>
      <c r="E48" s="22"/>
      <c r="F48" s="44"/>
      <c r="G48" s="22"/>
      <c r="H48" s="22"/>
      <c r="I48" s="22"/>
      <c r="J48" s="22"/>
      <c r="K48" s="22"/>
      <c r="L48" s="22"/>
    </row>
    <row r="49" spans="1:12" ht="114.75" customHeight="1" x14ac:dyDescent="0.3">
      <c r="A49" s="160" t="s">
        <v>75</v>
      </c>
      <c r="B49" s="160"/>
      <c r="C49" s="160"/>
      <c r="D49" s="160"/>
      <c r="E49" s="22"/>
      <c r="F49" s="44"/>
      <c r="G49" s="22"/>
      <c r="H49" s="22"/>
      <c r="I49" s="22"/>
      <c r="J49" s="22"/>
      <c r="K49" s="22"/>
      <c r="L49" s="22"/>
    </row>
    <row r="50" spans="1:12" ht="18" x14ac:dyDescent="0.35">
      <c r="A50" s="22" t="s">
        <v>76</v>
      </c>
      <c r="B50" s="166" t="s">
        <v>138</v>
      </c>
      <c r="C50" s="53"/>
      <c r="D50" s="53"/>
      <c r="E50" s="22"/>
      <c r="F50" s="44"/>
      <c r="G50" s="22"/>
      <c r="H50" s="22"/>
      <c r="I50" s="22"/>
      <c r="J50" s="22"/>
      <c r="K50" s="22"/>
      <c r="L50" s="22"/>
    </row>
    <row r="51" spans="1:12" x14ac:dyDescent="0.3">
      <c r="A51" t="s">
        <v>77</v>
      </c>
      <c r="B51" s="16"/>
      <c r="C51" s="16"/>
      <c r="D51" s="16"/>
    </row>
    <row r="52" spans="1:12" x14ac:dyDescent="0.3">
      <c r="B52" s="16"/>
      <c r="C52" s="16"/>
      <c r="D52" s="16"/>
    </row>
    <row r="53" spans="1:12" x14ac:dyDescent="0.3">
      <c r="B53" s="16"/>
      <c r="C53" s="16"/>
      <c r="D53" s="16"/>
    </row>
    <row r="54" spans="1:12" x14ac:dyDescent="0.3">
      <c r="B54" s="16"/>
      <c r="C54" s="16"/>
      <c r="D54" s="16"/>
    </row>
  </sheetData>
  <mergeCells count="7">
    <mergeCell ref="A49:D49"/>
    <mergeCell ref="A1:L1"/>
    <mergeCell ref="A2:L2"/>
    <mergeCell ref="A3:L3"/>
    <mergeCell ref="B5:F5"/>
    <mergeCell ref="H5:L5"/>
    <mergeCell ref="A4:L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3A023-F428-4963-8FBB-AEA9C0CB9667}">
  <sheetPr>
    <tabColor rgb="FF00B050"/>
  </sheetPr>
  <dimension ref="A1:L28"/>
  <sheetViews>
    <sheetView topLeftCell="A22" zoomScale="80" zoomScaleNormal="80" workbookViewId="0">
      <selection activeCell="J29" sqref="J29"/>
    </sheetView>
  </sheetViews>
  <sheetFormatPr defaultColWidth="8.88671875" defaultRowHeight="14.4" x14ac:dyDescent="0.3"/>
  <cols>
    <col min="1" max="1" width="46.33203125" customWidth="1"/>
    <col min="2" max="2" width="18" style="10" customWidth="1"/>
    <col min="3" max="6" width="18" customWidth="1"/>
    <col min="7" max="7" width="6.6640625" customWidth="1"/>
    <col min="8" max="12" width="12.33203125" customWidth="1"/>
  </cols>
  <sheetData>
    <row r="1" spans="1:12" ht="15.6" x14ac:dyDescent="0.3">
      <c r="A1" s="161" t="str">
        <f>'Corrected Balance Sheet'!A1</f>
        <v>[Insert company name]</v>
      </c>
      <c r="B1" s="162"/>
      <c r="C1" s="162"/>
      <c r="D1" s="162"/>
      <c r="E1" s="162"/>
      <c r="F1" s="162"/>
      <c r="G1" s="162"/>
      <c r="H1" s="162"/>
      <c r="I1" s="162"/>
      <c r="J1" s="162"/>
      <c r="K1" s="162"/>
      <c r="L1" s="162"/>
    </row>
    <row r="2" spans="1:12" ht="15.6" x14ac:dyDescent="0.3">
      <c r="A2" s="163" t="s">
        <v>40</v>
      </c>
      <c r="B2" s="164"/>
      <c r="C2" s="164"/>
      <c r="D2" s="164"/>
      <c r="E2" s="164"/>
      <c r="F2" s="164"/>
      <c r="G2" s="164"/>
      <c r="H2" s="164"/>
      <c r="I2" s="164"/>
      <c r="J2" s="164"/>
      <c r="K2" s="164"/>
      <c r="L2" s="164"/>
    </row>
    <row r="3" spans="1:12" ht="15.6" x14ac:dyDescent="0.3">
      <c r="A3" s="161" t="str">
        <f>'Corrected Balance Sheet'!A3</f>
        <v>[Insert period covered]</v>
      </c>
      <c r="B3" s="162"/>
      <c r="C3" s="162"/>
      <c r="D3" s="162"/>
      <c r="E3" s="162"/>
      <c r="F3" s="162"/>
      <c r="G3" s="162"/>
      <c r="H3" s="162"/>
      <c r="I3" s="162"/>
      <c r="J3" s="162"/>
      <c r="K3" s="162"/>
      <c r="L3" s="162"/>
    </row>
    <row r="4" spans="1:12" ht="15.6" x14ac:dyDescent="0.3">
      <c r="A4" s="161" t="str">
        <f>'Corrected Balance Sheet'!A4</f>
        <v>[Insert how data is recorded. (i.e. thousands or millions)]</v>
      </c>
      <c r="B4" s="162"/>
      <c r="C4" s="162"/>
      <c r="D4" s="162"/>
      <c r="E4" s="162"/>
      <c r="F4" s="162"/>
      <c r="G4" s="162"/>
      <c r="H4" s="162"/>
      <c r="I4" s="162"/>
      <c r="J4" s="162"/>
      <c r="K4" s="162"/>
      <c r="L4" s="162"/>
    </row>
    <row r="5" spans="1:12" ht="15.75" customHeight="1" x14ac:dyDescent="0.3">
      <c r="A5" s="76"/>
      <c r="B5" s="152" t="s">
        <v>4</v>
      </c>
      <c r="C5" s="153"/>
      <c r="D5" s="153"/>
      <c r="E5" s="153"/>
      <c r="F5" s="154"/>
      <c r="G5" s="52"/>
      <c r="H5" s="152" t="s">
        <v>5</v>
      </c>
      <c r="I5" s="153"/>
      <c r="J5" s="153"/>
      <c r="K5" s="153"/>
      <c r="L5" s="154"/>
    </row>
    <row r="6" spans="1:12" x14ac:dyDescent="0.3">
      <c r="A6" s="22"/>
      <c r="B6" s="23" t="e">
        <f>'Corrected Balance Sheet'!B6</f>
        <v>#VALUE!</v>
      </c>
      <c r="C6" s="23" t="e">
        <f>'Corrected Balance Sheet'!C6</f>
        <v>#VALUE!</v>
      </c>
      <c r="D6" s="23" t="e">
        <f>'Corrected Balance Sheet'!D6</f>
        <v>#VALUE!</v>
      </c>
      <c r="E6" s="23" t="e">
        <f>'Corrected Balance Sheet'!E6</f>
        <v>#VALUE!</v>
      </c>
      <c r="F6" s="23" t="str">
        <f>'Corrected Balance Sheet'!F6</f>
        <v>[insert most current year]</v>
      </c>
      <c r="G6" s="22"/>
      <c r="H6" s="23" t="e">
        <f>'Corrected Balance Sheet'!H6</f>
        <v>#VALUE!</v>
      </c>
      <c r="I6" s="23" t="e">
        <f>'Corrected Balance Sheet'!I6</f>
        <v>#VALUE!</v>
      </c>
      <c r="J6" s="23" t="e">
        <f>'Corrected Balance Sheet'!J6</f>
        <v>#VALUE!</v>
      </c>
      <c r="K6" s="23" t="e">
        <f>'Corrected Balance Sheet'!K6</f>
        <v>#VALUE!</v>
      </c>
      <c r="L6" s="23" t="str">
        <f>'Corrected Balance Sheet'!L6</f>
        <v>[insert most current year]</v>
      </c>
    </row>
    <row r="7" spans="1:12" x14ac:dyDescent="0.3">
      <c r="A7" s="30" t="s">
        <v>41</v>
      </c>
      <c r="B7" s="31" t="s">
        <v>9</v>
      </c>
      <c r="C7" s="31" t="s">
        <v>9</v>
      </c>
      <c r="D7" s="31" t="s">
        <v>9</v>
      </c>
      <c r="E7" s="31" t="s">
        <v>9</v>
      </c>
      <c r="F7" s="31" t="s">
        <v>9</v>
      </c>
      <c r="G7" s="32"/>
      <c r="H7" s="77" t="e">
        <f>B7/B$7</f>
        <v>#VALUE!</v>
      </c>
      <c r="I7" s="77" t="e">
        <f>C7/C$7</f>
        <v>#VALUE!</v>
      </c>
      <c r="J7" s="77" t="e">
        <f t="shared" ref="J7:L8" si="0">D7/D$7</f>
        <v>#VALUE!</v>
      </c>
      <c r="K7" s="77" t="e">
        <f t="shared" si="0"/>
        <v>#VALUE!</v>
      </c>
      <c r="L7" s="77" t="e">
        <f t="shared" si="0"/>
        <v>#VALUE!</v>
      </c>
    </row>
    <row r="8" spans="1:12" ht="15.6" x14ac:dyDescent="0.3">
      <c r="A8" s="34" t="s">
        <v>42</v>
      </c>
      <c r="B8" s="74" t="s">
        <v>9</v>
      </c>
      <c r="C8" s="74" t="s">
        <v>9</v>
      </c>
      <c r="D8" s="74" t="s">
        <v>9</v>
      </c>
      <c r="E8" s="74" t="s">
        <v>9</v>
      </c>
      <c r="F8" s="74" t="s">
        <v>9</v>
      </c>
      <c r="G8" s="41"/>
      <c r="H8" s="78" t="e">
        <f>B8/B$7</f>
        <v>#VALUE!</v>
      </c>
      <c r="I8" s="78" t="e">
        <f>C8/C$7</f>
        <v>#VALUE!</v>
      </c>
      <c r="J8" s="78" t="e">
        <f t="shared" si="0"/>
        <v>#VALUE!</v>
      </c>
      <c r="K8" s="78" t="e">
        <f t="shared" si="0"/>
        <v>#VALUE!</v>
      </c>
      <c r="L8" s="78" t="e">
        <f t="shared" si="0"/>
        <v>#VALUE!</v>
      </c>
    </row>
    <row r="9" spans="1:12" ht="17.399999999999999" x14ac:dyDescent="0.35">
      <c r="A9" s="79"/>
      <c r="B9" s="80"/>
      <c r="C9" s="80"/>
      <c r="D9" s="80"/>
      <c r="E9" s="22"/>
      <c r="F9" s="22"/>
      <c r="G9" s="22"/>
      <c r="H9" s="22"/>
      <c r="I9" s="22"/>
      <c r="J9" s="22"/>
      <c r="K9" s="22"/>
      <c r="L9" s="22"/>
    </row>
    <row r="10" spans="1:12" ht="17.399999999999999" x14ac:dyDescent="0.35">
      <c r="A10" s="36" t="s">
        <v>43</v>
      </c>
      <c r="B10" s="37" t="e">
        <f>B7-B8</f>
        <v>#VALUE!</v>
      </c>
      <c r="C10" s="37" t="e">
        <f>C7-C8</f>
        <v>#VALUE!</v>
      </c>
      <c r="D10" s="37" t="e">
        <f>D7-D8</f>
        <v>#VALUE!</v>
      </c>
      <c r="E10" s="37" t="e">
        <f>E7-E8</f>
        <v>#VALUE!</v>
      </c>
      <c r="F10" s="37" t="e">
        <f>F7-F8</f>
        <v>#VALUE!</v>
      </c>
      <c r="G10" s="134"/>
      <c r="H10" s="38" t="e">
        <f>B10/B$7</f>
        <v>#VALUE!</v>
      </c>
      <c r="I10" s="38" t="e">
        <f>C10/C$7</f>
        <v>#VALUE!</v>
      </c>
      <c r="J10" s="38" t="e">
        <f>D10/D$7</f>
        <v>#VALUE!</v>
      </c>
      <c r="K10" s="38" t="e">
        <f>E10/E$7</f>
        <v>#VALUE!</v>
      </c>
      <c r="L10" s="38" t="e">
        <f>F10/F$7</f>
        <v>#VALUE!</v>
      </c>
    </row>
    <row r="11" spans="1:12" ht="17.399999999999999" x14ac:dyDescent="0.35">
      <c r="A11" s="79"/>
      <c r="B11" s="80"/>
      <c r="C11" s="80"/>
      <c r="D11" s="80"/>
      <c r="E11" s="22"/>
      <c r="F11" s="22"/>
      <c r="G11" s="22"/>
      <c r="H11" s="22"/>
      <c r="I11" s="22"/>
      <c r="J11" s="22"/>
      <c r="K11" s="22"/>
      <c r="L11" s="22"/>
    </row>
    <row r="12" spans="1:12" x14ac:dyDescent="0.3">
      <c r="A12" s="30" t="s">
        <v>44</v>
      </c>
      <c r="B12" s="31" t="s">
        <v>9</v>
      </c>
      <c r="C12" s="31" t="s">
        <v>9</v>
      </c>
      <c r="D12" s="31" t="s">
        <v>9</v>
      </c>
      <c r="E12" s="31" t="s">
        <v>9</v>
      </c>
      <c r="F12" s="31" t="s">
        <v>9</v>
      </c>
      <c r="G12" s="32"/>
      <c r="H12" s="33" t="e">
        <f>B12/B$7</f>
        <v>#VALUE!</v>
      </c>
      <c r="I12" s="33" t="e">
        <f>C12/C$7</f>
        <v>#VALUE!</v>
      </c>
      <c r="J12" s="33" t="e">
        <f>D12/D$7</f>
        <v>#VALUE!</v>
      </c>
      <c r="K12" s="33" t="e">
        <f>E12/E$7</f>
        <v>#VALUE!</v>
      </c>
      <c r="L12" s="33" t="e">
        <f>F12/F$7</f>
        <v>#VALUE!</v>
      </c>
    </row>
    <row r="13" spans="1:12" ht="17.399999999999999" x14ac:dyDescent="0.35">
      <c r="A13" s="81"/>
      <c r="B13" s="80"/>
      <c r="C13" s="80"/>
      <c r="D13" s="80"/>
      <c r="E13" s="22"/>
      <c r="F13" s="22"/>
      <c r="G13" s="22"/>
      <c r="H13" s="22"/>
      <c r="I13" s="22"/>
      <c r="J13" s="22"/>
      <c r="K13" s="22"/>
      <c r="L13" s="22"/>
    </row>
    <row r="14" spans="1:12" ht="17.399999999999999" x14ac:dyDescent="0.35">
      <c r="A14" s="36" t="s">
        <v>45</v>
      </c>
      <c r="B14" s="37" t="e">
        <f>B10-B12</f>
        <v>#VALUE!</v>
      </c>
      <c r="C14" s="37" t="e">
        <f>C10-C12</f>
        <v>#VALUE!</v>
      </c>
      <c r="D14" s="37" t="e">
        <f>D10-D12</f>
        <v>#VALUE!</v>
      </c>
      <c r="E14" s="37" t="e">
        <f>E10-E12</f>
        <v>#VALUE!</v>
      </c>
      <c r="F14" s="37" t="e">
        <f>F10-F12</f>
        <v>#VALUE!</v>
      </c>
      <c r="G14" s="134"/>
      <c r="H14" s="38" t="e">
        <f>B14/B$7</f>
        <v>#VALUE!</v>
      </c>
      <c r="I14" s="38" t="e">
        <f>C14/C$7</f>
        <v>#VALUE!</v>
      </c>
      <c r="J14" s="38" t="e">
        <f>D14/D$7</f>
        <v>#VALUE!</v>
      </c>
      <c r="K14" s="38" t="e">
        <f>E14/E$7</f>
        <v>#VALUE!</v>
      </c>
      <c r="L14" s="38" t="e">
        <f>F14/F$7</f>
        <v>#VALUE!</v>
      </c>
    </row>
    <row r="15" spans="1:12" ht="17.399999999999999" x14ac:dyDescent="0.35">
      <c r="A15" s="79"/>
      <c r="B15" s="80"/>
      <c r="C15" s="80"/>
      <c r="D15" s="80"/>
      <c r="E15" s="22"/>
      <c r="F15" s="22"/>
      <c r="G15" s="22"/>
      <c r="H15" s="22"/>
      <c r="I15" s="22"/>
      <c r="J15" s="22"/>
      <c r="K15" s="22"/>
      <c r="L15" s="22"/>
    </row>
    <row r="16" spans="1:12" ht="15.6" x14ac:dyDescent="0.3">
      <c r="A16" s="50" t="s">
        <v>46</v>
      </c>
      <c r="B16" s="22"/>
      <c r="C16" s="22"/>
      <c r="D16" s="22"/>
      <c r="E16" s="22"/>
      <c r="F16" s="22"/>
      <c r="G16" s="22"/>
      <c r="H16" s="22"/>
      <c r="I16" s="22"/>
      <c r="J16" s="22"/>
      <c r="K16" s="22"/>
      <c r="L16" s="22"/>
    </row>
    <row r="17" spans="1:12" x14ac:dyDescent="0.3">
      <c r="A17" s="30" t="s">
        <v>47</v>
      </c>
      <c r="B17" s="31" t="s">
        <v>9</v>
      </c>
      <c r="C17" s="31" t="s">
        <v>9</v>
      </c>
      <c r="D17" s="31" t="s">
        <v>9</v>
      </c>
      <c r="E17" s="31" t="s">
        <v>9</v>
      </c>
      <c r="F17" s="31" t="s">
        <v>9</v>
      </c>
      <c r="G17" s="32"/>
      <c r="H17" s="33" t="e">
        <f>B17/B$7</f>
        <v>#VALUE!</v>
      </c>
      <c r="I17" s="33" t="e">
        <f>C17/C$7</f>
        <v>#VALUE!</v>
      </c>
      <c r="J17" s="33" t="e">
        <f t="shared" ref="J17:L18" si="1">D17/D$7</f>
        <v>#VALUE!</v>
      </c>
      <c r="K17" s="33" t="e">
        <f t="shared" si="1"/>
        <v>#VALUE!</v>
      </c>
      <c r="L17" s="33" t="e">
        <f t="shared" si="1"/>
        <v>#VALUE!</v>
      </c>
    </row>
    <row r="18" spans="1:12" ht="15.6" x14ac:dyDescent="0.3">
      <c r="A18" s="34" t="s">
        <v>48</v>
      </c>
      <c r="B18" s="74" t="s">
        <v>9</v>
      </c>
      <c r="C18" s="74" t="s">
        <v>9</v>
      </c>
      <c r="D18" s="74" t="s">
        <v>9</v>
      </c>
      <c r="E18" s="74" t="s">
        <v>9</v>
      </c>
      <c r="F18" s="74" t="s">
        <v>9</v>
      </c>
      <c r="G18" s="41"/>
      <c r="H18" s="78" t="e">
        <f>B18/B$7</f>
        <v>#VALUE!</v>
      </c>
      <c r="I18" s="78" t="e">
        <f>C18/C$7</f>
        <v>#VALUE!</v>
      </c>
      <c r="J18" s="78" t="e">
        <f t="shared" si="1"/>
        <v>#VALUE!</v>
      </c>
      <c r="K18" s="78" t="e">
        <f t="shared" si="1"/>
        <v>#VALUE!</v>
      </c>
      <c r="L18" s="78" t="e">
        <f t="shared" si="1"/>
        <v>#VALUE!</v>
      </c>
    </row>
    <row r="19" spans="1:12" ht="17.399999999999999" x14ac:dyDescent="0.35">
      <c r="A19" s="79"/>
      <c r="B19" s="82"/>
      <c r="C19" s="82"/>
      <c r="D19" s="82"/>
      <c r="E19" s="53"/>
      <c r="F19" s="53"/>
      <c r="G19" s="22"/>
      <c r="H19" s="22"/>
      <c r="I19" s="22"/>
      <c r="J19" s="22"/>
      <c r="K19" s="22"/>
      <c r="L19" s="22"/>
    </row>
    <row r="20" spans="1:12" x14ac:dyDescent="0.3">
      <c r="A20" s="148" t="s">
        <v>49</v>
      </c>
      <c r="B20" s="149" t="e">
        <f>B14+B17+B18</f>
        <v>#VALUE!</v>
      </c>
      <c r="C20" s="149" t="e">
        <f>C14+C17+C18</f>
        <v>#VALUE!</v>
      </c>
      <c r="D20" s="149" t="e">
        <f>D14+D17+D18</f>
        <v>#VALUE!</v>
      </c>
      <c r="E20" s="149" t="e">
        <f>E14+E17+E18</f>
        <v>#VALUE!</v>
      </c>
      <c r="F20" s="149" t="e">
        <f>F14+F17+F18</f>
        <v>#VALUE!</v>
      </c>
      <c r="G20" s="57"/>
      <c r="H20" s="150" t="e">
        <f>B20/B$7</f>
        <v>#VALUE!</v>
      </c>
      <c r="I20" s="150" t="e">
        <f>C20/C$7</f>
        <v>#VALUE!</v>
      </c>
      <c r="J20" s="150" t="e">
        <f>D20/D$7</f>
        <v>#VALUE!</v>
      </c>
      <c r="K20" s="150" t="e">
        <f>E20/E$7</f>
        <v>#VALUE!</v>
      </c>
      <c r="L20" s="150" t="e">
        <f>F20/F$7</f>
        <v>#VALUE!</v>
      </c>
    </row>
    <row r="21" spans="1:12" ht="17.399999999999999" x14ac:dyDescent="0.35">
      <c r="A21" s="79"/>
      <c r="B21" s="22"/>
      <c r="C21" s="22"/>
      <c r="D21" s="22"/>
      <c r="E21" s="22"/>
      <c r="F21" s="22"/>
      <c r="G21" s="22"/>
      <c r="H21" s="22"/>
      <c r="I21" s="22"/>
      <c r="J21" s="22"/>
      <c r="K21" s="22"/>
      <c r="L21" s="22"/>
    </row>
    <row r="22" spans="1:12" ht="17.399999999999999" x14ac:dyDescent="0.35">
      <c r="A22" s="79"/>
      <c r="B22" s="80"/>
      <c r="C22" s="80"/>
      <c r="D22" s="80"/>
      <c r="E22" s="22"/>
      <c r="F22" s="22"/>
      <c r="G22" s="22"/>
      <c r="H22" s="22"/>
      <c r="I22" s="22"/>
      <c r="J22" s="22"/>
      <c r="K22" s="22"/>
      <c r="L22" s="22"/>
    </row>
    <row r="23" spans="1:12" ht="17.399999999999999" x14ac:dyDescent="0.35">
      <c r="A23" s="79"/>
      <c r="B23" s="157"/>
      <c r="C23" s="157"/>
      <c r="D23" s="157"/>
      <c r="E23" s="157"/>
      <c r="F23" s="157"/>
      <c r="G23" s="22"/>
      <c r="H23" s="22"/>
      <c r="I23" s="22"/>
      <c r="J23" s="22"/>
      <c r="K23" s="22"/>
      <c r="L23" s="22"/>
    </row>
    <row r="24" spans="1:12" ht="17.399999999999999" x14ac:dyDescent="0.35">
      <c r="A24" s="36" t="s">
        <v>78</v>
      </c>
      <c r="B24" s="87"/>
      <c r="C24" s="88" t="e">
        <f>(C7-B7)/B7</f>
        <v>#VALUE!</v>
      </c>
      <c r="D24" s="88" t="e">
        <f>(D7-C7)/C7</f>
        <v>#VALUE!</v>
      </c>
      <c r="E24" s="88" t="e">
        <f>(E7-D7)/D7</f>
        <v>#VALUE!</v>
      </c>
      <c r="F24" s="88" t="e">
        <f>(F7-E7)/E7</f>
        <v>#VALUE!</v>
      </c>
      <c r="G24" s="22"/>
      <c r="H24" s="22"/>
      <c r="I24" s="22"/>
      <c r="J24" s="22"/>
      <c r="K24" s="22"/>
      <c r="L24" s="22"/>
    </row>
    <row r="25" spans="1:12" ht="17.399999999999999" x14ac:dyDescent="0.35">
      <c r="A25" s="12"/>
      <c r="B25" s="17"/>
      <c r="C25" s="18"/>
      <c r="D25" s="18"/>
      <c r="E25" s="18"/>
      <c r="F25" s="18"/>
    </row>
    <row r="26" spans="1:12" ht="97.5" customHeight="1" x14ac:dyDescent="0.3">
      <c r="A26" s="160" t="s">
        <v>75</v>
      </c>
      <c r="B26" s="160"/>
      <c r="C26" s="160"/>
      <c r="D26" s="160"/>
    </row>
    <row r="27" spans="1:12" ht="18" x14ac:dyDescent="0.35">
      <c r="A27" t="s">
        <v>76</v>
      </c>
      <c r="B27" s="165" t="s">
        <v>138</v>
      </c>
      <c r="C27" s="16"/>
      <c r="D27" s="16"/>
    </row>
    <row r="28" spans="1:12" x14ac:dyDescent="0.3">
      <c r="A28" t="s">
        <v>77</v>
      </c>
      <c r="B28" s="16"/>
      <c r="C28" s="16"/>
      <c r="D28" s="16"/>
    </row>
  </sheetData>
  <mergeCells count="8">
    <mergeCell ref="A26:D26"/>
    <mergeCell ref="A1:L1"/>
    <mergeCell ref="A2:L2"/>
    <mergeCell ref="A3:L3"/>
    <mergeCell ref="B5:F5"/>
    <mergeCell ref="H5:L5"/>
    <mergeCell ref="B23:F23"/>
    <mergeCell ref="A4:L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41633-F7C3-4971-9346-45B09F215F38}">
  <sheetPr>
    <tabColor rgb="FF00B050"/>
  </sheetPr>
  <dimension ref="A1:L31"/>
  <sheetViews>
    <sheetView topLeftCell="A25" workbookViewId="0">
      <selection activeCell="C31" sqref="C31"/>
    </sheetView>
  </sheetViews>
  <sheetFormatPr defaultColWidth="8.88671875" defaultRowHeight="14.4" x14ac:dyDescent="0.3"/>
  <cols>
    <col min="1" max="1" width="47.44140625" customWidth="1"/>
    <col min="2" max="2" width="13.88671875" style="9" bestFit="1" customWidth="1"/>
    <col min="3" max="6" width="13.88671875" bestFit="1" customWidth="1"/>
  </cols>
  <sheetData>
    <row r="1" spans="1:12" ht="15.6" x14ac:dyDescent="0.3">
      <c r="A1" s="161" t="str">
        <f>'Corrected Balance Sheet'!A1</f>
        <v>[Insert company name]</v>
      </c>
      <c r="B1" s="162"/>
      <c r="C1" s="162"/>
      <c r="D1" s="162"/>
      <c r="E1" s="162"/>
      <c r="F1" s="162"/>
      <c r="G1" s="4"/>
      <c r="H1" s="4"/>
      <c r="I1" s="4"/>
      <c r="J1" s="4"/>
      <c r="K1" s="4"/>
      <c r="L1" s="4"/>
    </row>
    <row r="2" spans="1:12" ht="15.6" x14ac:dyDescent="0.3">
      <c r="A2" s="163" t="s">
        <v>51</v>
      </c>
      <c r="B2" s="164"/>
      <c r="C2" s="164"/>
      <c r="D2" s="164"/>
      <c r="E2" s="164"/>
      <c r="F2" s="164"/>
    </row>
    <row r="3" spans="1:12" ht="15.75" customHeight="1" x14ac:dyDescent="0.3">
      <c r="A3" s="161" t="str">
        <f>'Corrected Balance Sheet'!A3</f>
        <v>[Insert period covered]</v>
      </c>
      <c r="B3" s="162"/>
      <c r="C3" s="162"/>
      <c r="D3" s="162"/>
      <c r="E3" s="162"/>
      <c r="F3" s="162"/>
      <c r="G3" s="4"/>
      <c r="H3" s="4"/>
      <c r="I3" s="4"/>
      <c r="J3" s="4"/>
      <c r="K3" s="4"/>
      <c r="L3" s="4"/>
    </row>
    <row r="4" spans="1:12" x14ac:dyDescent="0.3">
      <c r="A4" s="22"/>
      <c r="B4" s="89" t="e">
        <f>'Corrected Balance Sheet'!B6</f>
        <v>#VALUE!</v>
      </c>
      <c r="C4" s="89" t="e">
        <f>'Corrected Balance Sheet'!C6</f>
        <v>#VALUE!</v>
      </c>
      <c r="D4" s="89" t="e">
        <f>'Corrected Balance Sheet'!D6</f>
        <v>#VALUE!</v>
      </c>
      <c r="E4" s="89" t="e">
        <f>'Corrected Balance Sheet'!E6</f>
        <v>#VALUE!</v>
      </c>
      <c r="F4" s="89" t="str">
        <f>'Corrected Balance Sheet'!F6</f>
        <v>[insert most current year]</v>
      </c>
    </row>
    <row r="5" spans="1:12" ht="17.399999999999999" x14ac:dyDescent="0.35">
      <c r="A5" s="106" t="s">
        <v>52</v>
      </c>
      <c r="B5" s="107"/>
      <c r="C5" s="107"/>
      <c r="D5" s="107"/>
      <c r="E5" s="107"/>
      <c r="F5" s="108"/>
    </row>
    <row r="6" spans="1:12" x14ac:dyDescent="0.3">
      <c r="A6" s="95" t="s">
        <v>53</v>
      </c>
      <c r="B6" s="96" t="e">
        <f>'Corrected Balance Sheet'!B13/'Corrected Balance Sheet'!B28</f>
        <v>#DIV/0!</v>
      </c>
      <c r="C6" s="96" t="e">
        <f>'Corrected Balance Sheet'!C13/'Corrected Balance Sheet'!C28</f>
        <v>#DIV/0!</v>
      </c>
      <c r="D6" s="96" t="e">
        <f>'Corrected Balance Sheet'!D13/'Corrected Balance Sheet'!D28</f>
        <v>#DIV/0!</v>
      </c>
      <c r="E6" s="96" t="e">
        <f>'Corrected Balance Sheet'!E13/'Corrected Balance Sheet'!E28</f>
        <v>#DIV/0!</v>
      </c>
      <c r="F6" s="96" t="e">
        <f>'Corrected Balance Sheet'!F13/'Corrected Balance Sheet'!F28</f>
        <v>#DIV/0!</v>
      </c>
    </row>
    <row r="7" spans="1:12" x14ac:dyDescent="0.3">
      <c r="A7" s="97" t="s">
        <v>54</v>
      </c>
      <c r="B7" s="98" t="e">
        <f>('Corrected Balance Sheet'!B9+'Corrected Balance Sheet'!B10)/'Corrected Balance Sheet'!B28</f>
        <v>#VALUE!</v>
      </c>
      <c r="C7" s="98" t="e">
        <f>('Corrected Balance Sheet'!C9+'Corrected Balance Sheet'!C10)/'Corrected Balance Sheet'!C28</f>
        <v>#VALUE!</v>
      </c>
      <c r="D7" s="98" t="e">
        <f>('Corrected Balance Sheet'!D9+'Corrected Balance Sheet'!D10)/'Corrected Balance Sheet'!D28</f>
        <v>#VALUE!</v>
      </c>
      <c r="E7" s="98" t="e">
        <f>('Corrected Balance Sheet'!E9+'Corrected Balance Sheet'!E10)/'Corrected Balance Sheet'!E28</f>
        <v>#VALUE!</v>
      </c>
      <c r="F7" s="98" t="e">
        <f>('Corrected Balance Sheet'!F9+'Corrected Balance Sheet'!F10)/'Corrected Balance Sheet'!F28</f>
        <v>#VALUE!</v>
      </c>
    </row>
    <row r="8" spans="1:12" x14ac:dyDescent="0.3">
      <c r="A8" s="99" t="s">
        <v>55</v>
      </c>
      <c r="B8" s="100">
        <f>'Corrected Balance Sheet'!B13-'Corrected Balance Sheet'!B28</f>
        <v>0</v>
      </c>
      <c r="C8" s="100">
        <f>'Corrected Balance Sheet'!C13-'Corrected Balance Sheet'!C28</f>
        <v>0</v>
      </c>
      <c r="D8" s="100">
        <f>'Corrected Balance Sheet'!D13-'Corrected Balance Sheet'!D28</f>
        <v>0</v>
      </c>
      <c r="E8" s="100">
        <f>'Corrected Balance Sheet'!E13-'Corrected Balance Sheet'!E28</f>
        <v>0</v>
      </c>
      <c r="F8" s="100">
        <f>'Corrected Balance Sheet'!F13-'Corrected Balance Sheet'!F28</f>
        <v>0</v>
      </c>
    </row>
    <row r="9" spans="1:12" s="14" customFormat="1" ht="15.6" x14ac:dyDescent="0.3">
      <c r="A9" s="90"/>
      <c r="B9" s="91"/>
      <c r="C9" s="91"/>
      <c r="D9" s="91"/>
      <c r="E9" s="91"/>
      <c r="F9" s="91"/>
    </row>
    <row r="10" spans="1:12" ht="17.399999999999999" x14ac:dyDescent="0.35">
      <c r="A10" s="106" t="s">
        <v>56</v>
      </c>
      <c r="B10" s="107"/>
      <c r="C10" s="107"/>
      <c r="D10" s="107"/>
      <c r="E10" s="107"/>
      <c r="F10" s="108"/>
    </row>
    <row r="11" spans="1:12" x14ac:dyDescent="0.3">
      <c r="A11" s="97" t="s">
        <v>57</v>
      </c>
      <c r="B11" s="98" t="e">
        <f>'Corrected Income Statement'!B7/'Corrected Balance Sheet'!B10</f>
        <v>#VALUE!</v>
      </c>
      <c r="C11" s="98" t="e">
        <f>'Corrected Income Statement'!C7/'Corrected Balance Sheet'!C10</f>
        <v>#VALUE!</v>
      </c>
      <c r="D11" s="98" t="e">
        <f>'Corrected Income Statement'!D7/'Corrected Balance Sheet'!D10</f>
        <v>#VALUE!</v>
      </c>
      <c r="E11" s="98" t="e">
        <f>'Corrected Income Statement'!E7/'Corrected Balance Sheet'!E10</f>
        <v>#VALUE!</v>
      </c>
      <c r="F11" s="98" t="e">
        <f>'Corrected Income Statement'!F7/'Corrected Balance Sheet'!F10</f>
        <v>#VALUE!</v>
      </c>
    </row>
    <row r="12" spans="1:12" x14ac:dyDescent="0.3">
      <c r="A12" s="99" t="s">
        <v>58</v>
      </c>
      <c r="B12" s="101" t="e">
        <f>365/B11</f>
        <v>#VALUE!</v>
      </c>
      <c r="C12" s="101" t="e">
        <f t="shared" ref="C12:F12" si="0">365/C11</f>
        <v>#VALUE!</v>
      </c>
      <c r="D12" s="101" t="e">
        <f t="shared" si="0"/>
        <v>#VALUE!</v>
      </c>
      <c r="E12" s="101" t="e">
        <f t="shared" si="0"/>
        <v>#VALUE!</v>
      </c>
      <c r="F12" s="101" t="e">
        <f t="shared" si="0"/>
        <v>#VALUE!</v>
      </c>
    </row>
    <row r="13" spans="1:12" x14ac:dyDescent="0.3">
      <c r="A13" s="97" t="s">
        <v>59</v>
      </c>
      <c r="B13" s="98" t="e">
        <f>'Corrected Income Statement'!B7/'Corrected Ratios'!B8</f>
        <v>#VALUE!</v>
      </c>
      <c r="C13" s="98" t="e">
        <f>'Corrected Income Statement'!C7/'Corrected Ratios'!C8</f>
        <v>#VALUE!</v>
      </c>
      <c r="D13" s="98" t="e">
        <f>'Corrected Income Statement'!D7/'Corrected Ratios'!D8</f>
        <v>#VALUE!</v>
      </c>
      <c r="E13" s="98" t="e">
        <f>'Corrected Income Statement'!E7/'Corrected Ratios'!E8</f>
        <v>#VALUE!</v>
      </c>
      <c r="F13" s="98" t="e">
        <f>'Corrected Income Statement'!F7/'Corrected Ratios'!F8</f>
        <v>#VALUE!</v>
      </c>
    </row>
    <row r="14" spans="1:12" x14ac:dyDescent="0.3">
      <c r="A14" s="99" t="s">
        <v>60</v>
      </c>
      <c r="B14" s="101" t="e">
        <f>'Corrected Income Statement'!B7/'Corrected Balance Sheet'!B16</f>
        <v>#VALUE!</v>
      </c>
      <c r="C14" s="101" t="e">
        <f>'Corrected Income Statement'!C7/'Corrected Balance Sheet'!C16</f>
        <v>#VALUE!</v>
      </c>
      <c r="D14" s="101" t="e">
        <f>'Corrected Income Statement'!D7/'Corrected Balance Sheet'!D16</f>
        <v>#VALUE!</v>
      </c>
      <c r="E14" s="101" t="e">
        <f>'Corrected Income Statement'!E7/'Corrected Balance Sheet'!E16</f>
        <v>#VALUE!</v>
      </c>
      <c r="F14" s="101" t="e">
        <f>'Corrected Income Statement'!F7/'Corrected Balance Sheet'!F16</f>
        <v>#VALUE!</v>
      </c>
    </row>
    <row r="15" spans="1:12" x14ac:dyDescent="0.3">
      <c r="A15" s="97" t="s">
        <v>61</v>
      </c>
      <c r="B15" s="98" t="e">
        <f>'Corrected Income Statement'!B7/'Corrected Balance Sheet'!B21</f>
        <v>#VALUE!</v>
      </c>
      <c r="C15" s="98" t="e">
        <f>'Corrected Income Statement'!C7/'Corrected Balance Sheet'!C21</f>
        <v>#VALUE!</v>
      </c>
      <c r="D15" s="98" t="e">
        <f>'Corrected Income Statement'!D7/'Corrected Balance Sheet'!D21</f>
        <v>#VALUE!</v>
      </c>
      <c r="E15" s="98" t="e">
        <f>'Corrected Income Statement'!E7/'Corrected Balance Sheet'!E21</f>
        <v>#VALUE!</v>
      </c>
      <c r="F15" s="98" t="e">
        <f>'Corrected Income Statement'!F7/'Corrected Balance Sheet'!F21</f>
        <v>#VALUE!</v>
      </c>
    </row>
    <row r="16" spans="1:12" x14ac:dyDescent="0.3">
      <c r="A16" s="99" t="s">
        <v>62</v>
      </c>
      <c r="B16" s="101" t="e">
        <f>'Corrected Balance Sheet'!B11/'Corrected Income Statement'!B8</f>
        <v>#VALUE!</v>
      </c>
      <c r="C16" s="101" t="e">
        <f>'Corrected Balance Sheet'!C11/'Corrected Income Statement'!C8</f>
        <v>#VALUE!</v>
      </c>
      <c r="D16" s="101" t="e">
        <f>'Corrected Balance Sheet'!D11/'Corrected Income Statement'!D8</f>
        <v>#VALUE!</v>
      </c>
      <c r="E16" s="101" t="e">
        <f>'Corrected Balance Sheet'!E11/'Corrected Income Statement'!E8</f>
        <v>#VALUE!</v>
      </c>
      <c r="F16" s="101" t="e">
        <f>'Corrected Balance Sheet'!F11/'Corrected Income Statement'!F8</f>
        <v>#VALUE!</v>
      </c>
    </row>
    <row r="17" spans="1:7" x14ac:dyDescent="0.3">
      <c r="A17" s="97" t="s">
        <v>63</v>
      </c>
      <c r="B17" s="98" t="e">
        <f>365/B16</f>
        <v>#VALUE!</v>
      </c>
      <c r="C17" s="98" t="e">
        <f t="shared" ref="C17:F17" si="1">365/C16</f>
        <v>#VALUE!</v>
      </c>
      <c r="D17" s="98" t="e">
        <f t="shared" si="1"/>
        <v>#VALUE!</v>
      </c>
      <c r="E17" s="98" t="e">
        <f t="shared" si="1"/>
        <v>#VALUE!</v>
      </c>
      <c r="F17" s="98" t="e">
        <f t="shared" si="1"/>
        <v>#VALUE!</v>
      </c>
      <c r="G17" s="19"/>
    </row>
    <row r="18" spans="1:7" x14ac:dyDescent="0.3">
      <c r="A18" s="99" t="s">
        <v>64</v>
      </c>
      <c r="B18" s="101" t="e">
        <f>'Corrected Income Statement'!B8/'Corrected Balance Sheet'!B25</f>
        <v>#VALUE!</v>
      </c>
      <c r="C18" s="101" t="e">
        <f>'Corrected Income Statement'!C8/'Corrected Balance Sheet'!C25</f>
        <v>#VALUE!</v>
      </c>
      <c r="D18" s="101" t="e">
        <f>'Corrected Income Statement'!D8/'Corrected Balance Sheet'!D25</f>
        <v>#VALUE!</v>
      </c>
      <c r="E18" s="101" t="e">
        <f>'Corrected Income Statement'!E8/'Corrected Balance Sheet'!E25</f>
        <v>#VALUE!</v>
      </c>
      <c r="F18" s="101" t="e">
        <f>'Corrected Income Statement'!F8/'Corrected Balance Sheet'!F25</f>
        <v>#VALUE!</v>
      </c>
      <c r="G18" s="19"/>
    </row>
    <row r="19" spans="1:7" x14ac:dyDescent="0.3">
      <c r="A19" s="97" t="s">
        <v>65</v>
      </c>
      <c r="B19" s="98" t="e">
        <f>365/B18</f>
        <v>#VALUE!</v>
      </c>
      <c r="C19" s="98" t="e">
        <f t="shared" ref="C19:F19" si="2">365/C18</f>
        <v>#VALUE!</v>
      </c>
      <c r="D19" s="98" t="e">
        <f t="shared" si="2"/>
        <v>#VALUE!</v>
      </c>
      <c r="E19" s="98" t="e">
        <f t="shared" si="2"/>
        <v>#VALUE!</v>
      </c>
      <c r="F19" s="98" t="e">
        <f t="shared" si="2"/>
        <v>#VALUE!</v>
      </c>
      <c r="G19" s="19"/>
    </row>
    <row r="20" spans="1:7" s="14" customFormat="1" ht="15.6" x14ac:dyDescent="0.3">
      <c r="A20" s="90"/>
      <c r="B20" s="91"/>
      <c r="C20" s="91"/>
      <c r="D20" s="91"/>
      <c r="E20" s="91"/>
      <c r="F20" s="91"/>
    </row>
    <row r="21" spans="1:7" ht="17.399999999999999" x14ac:dyDescent="0.35">
      <c r="A21" s="106" t="s">
        <v>66</v>
      </c>
      <c r="B21" s="107"/>
      <c r="C21" s="107"/>
      <c r="D21" s="107"/>
      <c r="E21" s="107"/>
      <c r="F21" s="108"/>
    </row>
    <row r="22" spans="1:7" x14ac:dyDescent="0.3">
      <c r="A22" s="95" t="s">
        <v>67</v>
      </c>
      <c r="B22" s="96" t="e">
        <f>'Corrected Balance Sheet'!B16/'Corrected Balance Sheet'!B42</f>
        <v>#VALUE!</v>
      </c>
      <c r="C22" s="96" t="e">
        <f>'Corrected Balance Sheet'!C16/'Corrected Balance Sheet'!C42</f>
        <v>#VALUE!</v>
      </c>
      <c r="D22" s="96" t="e">
        <f>'Corrected Balance Sheet'!D16/'Corrected Balance Sheet'!D42</f>
        <v>#VALUE!</v>
      </c>
      <c r="E22" s="96" t="e">
        <f>'Corrected Balance Sheet'!E16/'Corrected Balance Sheet'!E42</f>
        <v>#VALUE!</v>
      </c>
      <c r="F22" s="96" t="e">
        <f>'Corrected Balance Sheet'!F16/'Corrected Balance Sheet'!F42</f>
        <v>#VALUE!</v>
      </c>
    </row>
    <row r="23" spans="1:7" s="14" customFormat="1" ht="15.6" x14ac:dyDescent="0.3">
      <c r="A23" s="90"/>
      <c r="B23" s="91"/>
      <c r="C23" s="91"/>
      <c r="D23" s="91"/>
      <c r="E23" s="91"/>
      <c r="F23" s="91"/>
    </row>
    <row r="24" spans="1:7" ht="17.399999999999999" x14ac:dyDescent="0.35">
      <c r="A24" s="106" t="s">
        <v>68</v>
      </c>
      <c r="B24" s="107"/>
      <c r="C24" s="107"/>
      <c r="D24" s="107"/>
      <c r="E24" s="107"/>
      <c r="F24" s="108"/>
    </row>
    <row r="25" spans="1:7" x14ac:dyDescent="0.3">
      <c r="A25" s="97" t="s">
        <v>69</v>
      </c>
      <c r="B25" s="102" t="e">
        <f>'Corrected Income Statement'!B20/'Corrected Balance Sheet'!B42</f>
        <v>#VALUE!</v>
      </c>
      <c r="C25" s="102" t="e">
        <f>'Corrected Income Statement'!C20/'Corrected Balance Sheet'!C42</f>
        <v>#VALUE!</v>
      </c>
      <c r="D25" s="102" t="e">
        <f>'Corrected Income Statement'!D20/'Corrected Balance Sheet'!D42</f>
        <v>#VALUE!</v>
      </c>
      <c r="E25" s="102" t="e">
        <f>'Corrected Income Statement'!E20/'Corrected Balance Sheet'!E42</f>
        <v>#VALUE!</v>
      </c>
      <c r="F25" s="102" t="e">
        <f>'Corrected Income Statement'!F20/'Corrected Balance Sheet'!F42</f>
        <v>#VALUE!</v>
      </c>
    </row>
    <row r="26" spans="1:7" x14ac:dyDescent="0.3">
      <c r="A26" s="99" t="s">
        <v>70</v>
      </c>
      <c r="B26" s="103" t="e">
        <f>'Corrected Income Statement'!B20/'Corrected Balance Sheet'!B21</f>
        <v>#VALUE!</v>
      </c>
      <c r="C26" s="103" t="e">
        <f>'Corrected Income Statement'!C20/'Corrected Balance Sheet'!C21</f>
        <v>#VALUE!</v>
      </c>
      <c r="D26" s="103" t="e">
        <f>'Corrected Income Statement'!D20/'Corrected Balance Sheet'!D21</f>
        <v>#VALUE!</v>
      </c>
      <c r="E26" s="103" t="e">
        <f>'Corrected Income Statement'!E20/'Corrected Balance Sheet'!E21</f>
        <v>#VALUE!</v>
      </c>
      <c r="F26" s="103" t="e">
        <f>'Corrected Income Statement'!F20/'Corrected Balance Sheet'!F21</f>
        <v>#VALUE!</v>
      </c>
    </row>
    <row r="27" spans="1:7" x14ac:dyDescent="0.3">
      <c r="A27" s="97" t="s">
        <v>71</v>
      </c>
      <c r="B27" s="102" t="e">
        <f>'Corrected Income Statement'!B20/'Corrected Income Statement'!B7</f>
        <v>#VALUE!</v>
      </c>
      <c r="C27" s="102" t="e">
        <f>'Corrected Income Statement'!C20/'Corrected Income Statement'!C7</f>
        <v>#VALUE!</v>
      </c>
      <c r="D27" s="102" t="e">
        <f>'Corrected Income Statement'!D20/'Corrected Income Statement'!D7</f>
        <v>#VALUE!</v>
      </c>
      <c r="E27" s="102" t="e">
        <f>'Corrected Income Statement'!E20/'Corrected Income Statement'!E7</f>
        <v>#VALUE!</v>
      </c>
      <c r="F27" s="102" t="e">
        <f>'Corrected Income Statement'!F20/'Corrected Income Statement'!F7</f>
        <v>#VALUE!</v>
      </c>
    </row>
    <row r="29" spans="1:7" ht="129" customHeight="1" x14ac:dyDescent="0.3">
      <c r="A29" s="160" t="s">
        <v>75</v>
      </c>
      <c r="B29" s="160"/>
      <c r="C29" s="160"/>
      <c r="D29" s="160"/>
    </row>
    <row r="30" spans="1:7" ht="18" x14ac:dyDescent="0.35">
      <c r="A30" t="s">
        <v>76</v>
      </c>
      <c r="B30" s="165" t="s">
        <v>138</v>
      </c>
      <c r="C30" s="16"/>
      <c r="D30" s="16"/>
    </row>
    <row r="31" spans="1:7" x14ac:dyDescent="0.3">
      <c r="A31" t="s">
        <v>77</v>
      </c>
      <c r="B31" s="16"/>
      <c r="C31" s="16"/>
      <c r="D31" s="16"/>
    </row>
  </sheetData>
  <mergeCells count="4">
    <mergeCell ref="A1:F1"/>
    <mergeCell ref="A2:F2"/>
    <mergeCell ref="A3:F3"/>
    <mergeCell ref="A29:D2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52ED1-CA54-468B-8B9C-E3C5A8DEAA4F}">
  <sheetPr>
    <tabColor rgb="FF00B050"/>
  </sheetPr>
  <dimension ref="A1:I24"/>
  <sheetViews>
    <sheetView tabSelected="1" workbookViewId="0">
      <selection activeCell="F22" sqref="F22"/>
    </sheetView>
  </sheetViews>
  <sheetFormatPr defaultColWidth="8.88671875" defaultRowHeight="14.4" x14ac:dyDescent="0.3"/>
  <cols>
    <col min="1" max="1" width="46.33203125" customWidth="1"/>
    <col min="2" max="2" width="19" style="10" bestFit="1" customWidth="1"/>
    <col min="3" max="7" width="19" bestFit="1" customWidth="1"/>
    <col min="9" max="9" width="15.33203125" bestFit="1" customWidth="1"/>
  </cols>
  <sheetData>
    <row r="1" spans="1:9" ht="15.6" x14ac:dyDescent="0.3">
      <c r="A1" s="161" t="s">
        <v>139</v>
      </c>
      <c r="B1" s="162"/>
      <c r="C1" s="162"/>
      <c r="D1" s="162"/>
      <c r="E1" s="162"/>
      <c r="F1" s="162"/>
      <c r="G1" s="162"/>
    </row>
    <row r="2" spans="1:9" ht="15.6" x14ac:dyDescent="0.3">
      <c r="A2" s="163" t="s">
        <v>79</v>
      </c>
      <c r="B2" s="164"/>
      <c r="C2" s="164"/>
      <c r="D2" s="164"/>
      <c r="E2" s="164"/>
      <c r="F2" s="164"/>
      <c r="G2" s="164"/>
    </row>
    <row r="3" spans="1:9" ht="15.6" x14ac:dyDescent="0.3">
      <c r="A3" s="161" t="s">
        <v>140</v>
      </c>
      <c r="B3" s="162"/>
      <c r="C3" s="162"/>
      <c r="D3" s="162"/>
      <c r="E3" s="162"/>
      <c r="F3" s="162"/>
      <c r="G3" s="162"/>
    </row>
    <row r="4" spans="1:9" ht="15.6" x14ac:dyDescent="0.3">
      <c r="A4" s="161" t="s">
        <v>136</v>
      </c>
      <c r="B4" s="162"/>
      <c r="C4" s="162"/>
      <c r="D4" s="162"/>
      <c r="E4" s="162"/>
      <c r="F4" s="162"/>
      <c r="G4" s="162"/>
    </row>
    <row r="5" spans="1:9" ht="15.75" customHeight="1" x14ac:dyDescent="0.3">
      <c r="A5" s="76"/>
      <c r="B5" s="152" t="s">
        <v>4</v>
      </c>
      <c r="C5" s="153"/>
      <c r="D5" s="153"/>
      <c r="E5" s="153"/>
      <c r="F5" s="153"/>
      <c r="G5" s="154"/>
    </row>
    <row r="6" spans="1:9" x14ac:dyDescent="0.3">
      <c r="A6" s="22"/>
      <c r="B6" s="23">
        <f>'Milestone Balance Sheet'!F6+1</f>
        <v>2024</v>
      </c>
      <c r="C6" s="24">
        <f>B6+1</f>
        <v>2025</v>
      </c>
      <c r="D6" s="24">
        <f>C6+1</f>
        <v>2026</v>
      </c>
      <c r="E6" s="24">
        <f>D6+1</f>
        <v>2027</v>
      </c>
      <c r="F6" s="24">
        <v>2028</v>
      </c>
      <c r="G6" s="24" t="s">
        <v>80</v>
      </c>
    </row>
    <row r="7" spans="1:9" x14ac:dyDescent="0.3">
      <c r="A7" s="30" t="s">
        <v>41</v>
      </c>
      <c r="B7" s="31">
        <v>17800000</v>
      </c>
      <c r="C7" s="31">
        <v>19580000</v>
      </c>
      <c r="D7" s="31">
        <v>21800000</v>
      </c>
      <c r="E7" s="31">
        <v>24300000</v>
      </c>
      <c r="F7" s="31">
        <v>27200000</v>
      </c>
      <c r="G7" s="31">
        <v>30000000</v>
      </c>
    </row>
    <row r="8" spans="1:9" x14ac:dyDescent="0.3">
      <c r="A8" s="110" t="s">
        <v>81</v>
      </c>
      <c r="B8" s="109">
        <v>0.1</v>
      </c>
      <c r="C8" s="109">
        <v>0.1</v>
      </c>
      <c r="D8" s="109">
        <v>0.113</v>
      </c>
      <c r="E8" s="109">
        <v>0.115</v>
      </c>
      <c r="F8" s="109">
        <v>0.123</v>
      </c>
      <c r="G8" s="109" t="s">
        <v>141</v>
      </c>
    </row>
    <row r="9" spans="1:9" ht="17.399999999999999" x14ac:dyDescent="0.35">
      <c r="A9" s="79"/>
      <c r="B9" s="80"/>
      <c r="C9" s="80"/>
      <c r="D9" s="80"/>
      <c r="E9" s="22"/>
      <c r="F9" s="22"/>
      <c r="G9" s="22"/>
    </row>
    <row r="10" spans="1:9" ht="17.399999999999999" x14ac:dyDescent="0.35">
      <c r="A10" s="36" t="s">
        <v>43</v>
      </c>
      <c r="B10" s="37">
        <v>15000000</v>
      </c>
      <c r="C10" s="37">
        <v>16600000</v>
      </c>
      <c r="D10" s="37">
        <v>18250000</v>
      </c>
      <c r="E10" s="37">
        <v>20000000</v>
      </c>
      <c r="F10" s="37">
        <v>22000000</v>
      </c>
      <c r="G10" s="37">
        <v>25000000</v>
      </c>
    </row>
    <row r="11" spans="1:9" x14ac:dyDescent="0.3">
      <c r="A11" s="110" t="s">
        <v>82</v>
      </c>
      <c r="B11" s="109">
        <v>0.84299999999999997</v>
      </c>
      <c r="C11" s="109">
        <v>0.84699999999999998</v>
      </c>
      <c r="D11" s="109">
        <v>0.83699999999999997</v>
      </c>
      <c r="E11" s="109">
        <v>0.82499999999999996</v>
      </c>
      <c r="F11" s="109">
        <v>0.80900000000000005</v>
      </c>
      <c r="G11" s="109" t="s">
        <v>141</v>
      </c>
      <c r="I11" s="10"/>
    </row>
    <row r="12" spans="1:9" ht="17.399999999999999" x14ac:dyDescent="0.35">
      <c r="A12" s="79"/>
      <c r="B12" s="80"/>
      <c r="C12" s="80"/>
      <c r="D12" s="80"/>
      <c r="E12" s="22"/>
      <c r="F12" s="22"/>
      <c r="G12" s="22"/>
    </row>
    <row r="13" spans="1:9" x14ac:dyDescent="0.3">
      <c r="A13" s="30" t="s">
        <v>83</v>
      </c>
      <c r="B13" s="31">
        <v>13800000</v>
      </c>
      <c r="C13" s="31">
        <v>15000000</v>
      </c>
      <c r="D13" s="31">
        <v>16000000</v>
      </c>
      <c r="E13" s="31">
        <v>17000000</v>
      </c>
      <c r="F13" s="31">
        <v>18000000</v>
      </c>
      <c r="G13" s="31">
        <v>20000000</v>
      </c>
    </row>
    <row r="14" spans="1:9" x14ac:dyDescent="0.3">
      <c r="A14" s="110" t="s">
        <v>84</v>
      </c>
      <c r="B14" s="109">
        <v>0.77500000000000002</v>
      </c>
      <c r="C14" s="109">
        <v>0.76500000000000001</v>
      </c>
      <c r="D14" s="109">
        <v>0.73399999999999999</v>
      </c>
      <c r="E14" s="109">
        <v>0.69899999999999995</v>
      </c>
      <c r="F14" s="109">
        <v>0.66300000000000003</v>
      </c>
      <c r="G14" s="109" t="s">
        <v>141</v>
      </c>
    </row>
    <row r="15" spans="1:9" ht="17.399999999999999" x14ac:dyDescent="0.35">
      <c r="A15" s="81"/>
      <c r="B15" s="80"/>
      <c r="C15" s="80"/>
      <c r="D15" s="80"/>
      <c r="E15" s="22"/>
      <c r="F15" s="22"/>
      <c r="G15" s="22"/>
    </row>
    <row r="16" spans="1:9" ht="15.6" x14ac:dyDescent="0.3">
      <c r="A16" s="50" t="s">
        <v>46</v>
      </c>
      <c r="B16" s="22"/>
      <c r="C16" s="22"/>
      <c r="D16" s="22"/>
      <c r="E16" s="22"/>
      <c r="F16" s="22"/>
      <c r="G16" s="22"/>
    </row>
    <row r="17" spans="1:7" x14ac:dyDescent="0.3">
      <c r="A17" s="30" t="s">
        <v>47</v>
      </c>
      <c r="B17" s="31">
        <v>-185077</v>
      </c>
      <c r="C17" s="31">
        <v>-190000</v>
      </c>
      <c r="D17" s="31">
        <v>-195000</v>
      </c>
      <c r="E17" s="31">
        <v>-200000</v>
      </c>
      <c r="F17" s="31">
        <v>-205000</v>
      </c>
      <c r="G17" s="31">
        <v>-210000</v>
      </c>
    </row>
    <row r="18" spans="1:7" x14ac:dyDescent="0.3">
      <c r="A18" s="34" t="s">
        <v>48</v>
      </c>
      <c r="B18" s="31">
        <v>-90000</v>
      </c>
      <c r="C18" s="31">
        <v>-100000</v>
      </c>
      <c r="D18" s="31">
        <v>-110000</v>
      </c>
      <c r="E18" s="31">
        <v>-120000</v>
      </c>
      <c r="F18" s="31">
        <v>-130000</v>
      </c>
      <c r="G18" s="31">
        <v>-140000</v>
      </c>
    </row>
    <row r="19" spans="1:7" ht="17.399999999999999" x14ac:dyDescent="0.35">
      <c r="A19" s="79"/>
      <c r="B19" s="82"/>
      <c r="C19" s="82"/>
      <c r="D19" s="82"/>
      <c r="E19" s="53"/>
      <c r="F19" s="53"/>
      <c r="G19" s="53"/>
    </row>
    <row r="20" spans="1:7" ht="17.399999999999999" x14ac:dyDescent="0.35">
      <c r="A20" s="36" t="s">
        <v>85</v>
      </c>
      <c r="B20" s="37">
        <f t="shared" ref="B20:G20" si="0">B10-B13+B17+B18</f>
        <v>924923</v>
      </c>
      <c r="C20" s="37">
        <f t="shared" si="0"/>
        <v>1310000</v>
      </c>
      <c r="D20" s="37">
        <f t="shared" si="0"/>
        <v>1945000</v>
      </c>
      <c r="E20" s="37">
        <f t="shared" si="0"/>
        <v>2680000</v>
      </c>
      <c r="F20" s="37">
        <f t="shared" si="0"/>
        <v>3665000</v>
      </c>
      <c r="G20" s="37">
        <f t="shared" si="0"/>
        <v>4650000</v>
      </c>
    </row>
    <row r="21" spans="1:7" ht="17.399999999999999" x14ac:dyDescent="0.35">
      <c r="A21" s="12"/>
      <c r="B21"/>
    </row>
    <row r="22" spans="1:7" ht="19.2" customHeight="1" x14ac:dyDescent="0.35">
      <c r="A22" s="12"/>
      <c r="B22" s="13"/>
      <c r="C22" s="13"/>
      <c r="D22" s="13"/>
    </row>
    <row r="23" spans="1:7" ht="17.399999999999999" x14ac:dyDescent="0.35">
      <c r="A23" s="15"/>
      <c r="B23"/>
    </row>
    <row r="24" spans="1:7" ht="17.399999999999999" x14ac:dyDescent="0.35">
      <c r="A24" s="15"/>
      <c r="B24" s="17"/>
      <c r="C24" s="20"/>
      <c r="D24" s="20"/>
      <c r="E24" s="20"/>
      <c r="F24" s="20"/>
      <c r="G24" s="20"/>
    </row>
  </sheetData>
  <mergeCells count="5">
    <mergeCell ref="A1:G1"/>
    <mergeCell ref="A2:G2"/>
    <mergeCell ref="A3:G3"/>
    <mergeCell ref="B5:G5"/>
    <mergeCell ref="A4:G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D3144-6A0E-4DDB-B00B-482B59F6366A}">
  <sheetPr>
    <tabColor rgb="FF00B050"/>
  </sheetPr>
  <dimension ref="A1:C17"/>
  <sheetViews>
    <sheetView workbookViewId="0">
      <selection activeCell="A24" sqref="A24"/>
    </sheetView>
  </sheetViews>
  <sheetFormatPr defaultColWidth="8.88671875" defaultRowHeight="14.4" x14ac:dyDescent="0.3"/>
  <cols>
    <col min="1" max="1" width="111.44140625" bestFit="1" customWidth="1"/>
    <col min="2" max="3" width="28.33203125" customWidth="1"/>
  </cols>
  <sheetData>
    <row r="1" spans="1:3" ht="15.6" x14ac:dyDescent="0.3">
      <c r="A1" s="161" t="str">
        <f>'Prospective Analysis'!A1</f>
        <v>Markel Group Inc.</v>
      </c>
      <c r="B1" s="162"/>
      <c r="C1" s="162"/>
    </row>
    <row r="2" spans="1:3" ht="15.75" customHeight="1" x14ac:dyDescent="0.3">
      <c r="A2" s="163" t="s">
        <v>86</v>
      </c>
      <c r="B2" s="164"/>
      <c r="C2" s="164"/>
    </row>
    <row r="3" spans="1:3" x14ac:dyDescent="0.3">
      <c r="A3" s="22"/>
      <c r="B3" s="89">
        <f>'Milestone Balance Sheet'!F6</f>
        <v>2023</v>
      </c>
      <c r="C3" s="22"/>
    </row>
    <row r="4" spans="1:3" ht="17.399999999999999" x14ac:dyDescent="0.35">
      <c r="A4" s="140"/>
      <c r="B4" s="147" t="s">
        <v>87</v>
      </c>
      <c r="C4" s="146" t="s">
        <v>88</v>
      </c>
    </row>
    <row r="5" spans="1:3" x14ac:dyDescent="0.3">
      <c r="A5" s="96" t="s">
        <v>89</v>
      </c>
      <c r="B5" s="121">
        <v>2.5999999999999999E-2</v>
      </c>
      <c r="C5" s="141" t="s">
        <v>90</v>
      </c>
    </row>
    <row r="6" spans="1:3" x14ac:dyDescent="0.3">
      <c r="A6" s="98" t="s">
        <v>91</v>
      </c>
      <c r="B6" s="124">
        <v>0.06</v>
      </c>
      <c r="C6" s="142" t="s">
        <v>92</v>
      </c>
    </row>
    <row r="7" spans="1:3" x14ac:dyDescent="0.3">
      <c r="A7" s="100" t="s">
        <v>93</v>
      </c>
      <c r="B7" s="123">
        <v>1.4999999999999999E-2</v>
      </c>
      <c r="C7" s="141" t="s">
        <v>94</v>
      </c>
    </row>
    <row r="8" spans="1:3" x14ac:dyDescent="0.3">
      <c r="A8" s="98"/>
      <c r="B8" s="124">
        <v>0.03</v>
      </c>
      <c r="C8" s="142" t="s">
        <v>95</v>
      </c>
    </row>
    <row r="9" spans="1:3" x14ac:dyDescent="0.3">
      <c r="A9" s="143" t="s">
        <v>96</v>
      </c>
      <c r="B9" s="144">
        <f>SUM(B5:B8)</f>
        <v>0.13100000000000001</v>
      </c>
      <c r="C9" s="145" t="s">
        <v>97</v>
      </c>
    </row>
    <row r="10" spans="1:3" x14ac:dyDescent="0.3">
      <c r="A10" s="98" t="s">
        <v>98</v>
      </c>
      <c r="B10" s="124">
        <v>-2.5000000000000001E-2</v>
      </c>
      <c r="C10" s="142" t="s">
        <v>99</v>
      </c>
    </row>
    <row r="11" spans="1:3" x14ac:dyDescent="0.3">
      <c r="A11" s="143" t="s">
        <v>100</v>
      </c>
      <c r="B11" s="144">
        <f>SUM(B9:B10)</f>
        <v>0.10600000000000001</v>
      </c>
      <c r="C11" s="101"/>
    </row>
    <row r="12" spans="1:3" x14ac:dyDescent="0.3">
      <c r="A12" s="142" t="s">
        <v>101</v>
      </c>
      <c r="B12" s="98"/>
      <c r="C12" s="98"/>
    </row>
    <row r="13" spans="1:3" x14ac:dyDescent="0.3">
      <c r="A13" s="101" t="s">
        <v>102</v>
      </c>
      <c r="B13" s="101"/>
      <c r="C13" s="101"/>
    </row>
    <row r="14" spans="1:3" x14ac:dyDescent="0.3">
      <c r="A14" s="98" t="s">
        <v>103</v>
      </c>
      <c r="B14" s="98"/>
      <c r="C14" s="98"/>
    </row>
    <row r="15" spans="1:3" x14ac:dyDescent="0.3">
      <c r="A15" s="101" t="s">
        <v>104</v>
      </c>
      <c r="B15" s="101"/>
      <c r="C15" s="101"/>
    </row>
    <row r="16" spans="1:3" x14ac:dyDescent="0.3">
      <c r="A16" s="98" t="s">
        <v>105</v>
      </c>
      <c r="B16" s="98"/>
      <c r="C16" s="98"/>
    </row>
    <row r="17" spans="1:3" x14ac:dyDescent="0.3">
      <c r="A17" s="101" t="s">
        <v>106</v>
      </c>
      <c r="B17" s="101"/>
      <c r="C17" s="101"/>
    </row>
  </sheetData>
  <mergeCells count="2">
    <mergeCell ref="A1:C1"/>
    <mergeCell ref="A2:C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30CD8-49BD-41A9-BFF8-A8369080C91D}">
  <sheetPr>
    <tabColor rgb="FF00B050"/>
  </sheetPr>
  <dimension ref="A1:G22"/>
  <sheetViews>
    <sheetView topLeftCell="A7" workbookViewId="0">
      <selection activeCell="G13" sqref="G13"/>
    </sheetView>
  </sheetViews>
  <sheetFormatPr defaultColWidth="8.88671875" defaultRowHeight="14.4" x14ac:dyDescent="0.3"/>
  <cols>
    <col min="1" max="1" width="46.33203125" customWidth="1"/>
    <col min="2" max="2" width="20.33203125" style="10" bestFit="1" customWidth="1"/>
    <col min="3" max="7" width="19" bestFit="1" customWidth="1"/>
    <col min="9" max="9" width="15.33203125" bestFit="1" customWidth="1"/>
  </cols>
  <sheetData>
    <row r="1" spans="1:7" ht="15.6" x14ac:dyDescent="0.3">
      <c r="A1" s="161" t="str">
        <f>'Prospective Analysis'!A1</f>
        <v>Markel Group Inc.</v>
      </c>
      <c r="B1" s="162"/>
      <c r="C1" s="162"/>
      <c r="D1" s="162"/>
      <c r="E1" s="162"/>
      <c r="F1" s="162"/>
      <c r="G1" s="162"/>
    </row>
    <row r="2" spans="1:7" ht="15.6" x14ac:dyDescent="0.3">
      <c r="A2" s="163" t="s">
        <v>107</v>
      </c>
      <c r="B2" s="164"/>
      <c r="C2" s="164"/>
      <c r="D2" s="164"/>
      <c r="E2" s="164"/>
      <c r="F2" s="164"/>
      <c r="G2" s="164"/>
    </row>
    <row r="3" spans="1:7" ht="15.6" x14ac:dyDescent="0.3">
      <c r="A3" s="161" t="str">
        <f>'Prospective Analysis'!A3</f>
        <v>For the Period December 31, 2024 through December 31, 2028</v>
      </c>
      <c r="B3" s="162"/>
      <c r="C3" s="162"/>
      <c r="D3" s="162"/>
      <c r="E3" s="162"/>
      <c r="F3" s="162"/>
      <c r="G3" s="162"/>
    </row>
    <row r="4" spans="1:7" ht="15.75" customHeight="1" x14ac:dyDescent="0.3">
      <c r="A4" s="76"/>
      <c r="B4" s="152" t="s">
        <v>108</v>
      </c>
      <c r="C4" s="153"/>
      <c r="D4" s="153"/>
      <c r="E4" s="153"/>
      <c r="F4" s="153"/>
      <c r="G4" s="154"/>
    </row>
    <row r="5" spans="1:7" x14ac:dyDescent="0.3">
      <c r="A5" s="22"/>
      <c r="B5" s="23">
        <f>'Milestone Balance Sheet'!F6+1</f>
        <v>2024</v>
      </c>
      <c r="C5" s="24">
        <f>B5+1</f>
        <v>2025</v>
      </c>
      <c r="D5" s="24">
        <f>C5+1</f>
        <v>2026</v>
      </c>
      <c r="E5" s="24">
        <f>D5+1</f>
        <v>2027</v>
      </c>
      <c r="F5" s="24">
        <f>D5+1</f>
        <v>2027</v>
      </c>
      <c r="G5" s="24" t="s">
        <v>80</v>
      </c>
    </row>
    <row r="6" spans="1:7" x14ac:dyDescent="0.3">
      <c r="A6" s="30" t="s">
        <v>109</v>
      </c>
      <c r="B6" s="31">
        <f>'Prospective Analysis'!B20</f>
        <v>924923</v>
      </c>
      <c r="C6" s="31">
        <f>'Prospective Analysis'!C20</f>
        <v>1310000</v>
      </c>
      <c r="D6" s="31">
        <f>'Prospective Analysis'!D20</f>
        <v>1945000</v>
      </c>
      <c r="E6" s="31">
        <f>'Prospective Analysis'!E20</f>
        <v>2680000</v>
      </c>
      <c r="F6" s="31">
        <f>'Prospective Analysis'!F20</f>
        <v>3665000</v>
      </c>
      <c r="G6" s="31">
        <f>'Prospective Analysis'!G20</f>
        <v>4650000</v>
      </c>
    </row>
    <row r="7" spans="1:7" x14ac:dyDescent="0.3">
      <c r="A7" s="111"/>
      <c r="B7" s="109"/>
      <c r="C7" s="109"/>
      <c r="D7" s="109"/>
      <c r="E7" s="109"/>
      <c r="F7" s="109"/>
      <c r="G7" s="109"/>
    </row>
    <row r="8" spans="1:7" x14ac:dyDescent="0.3">
      <c r="A8" s="118" t="s">
        <v>110</v>
      </c>
      <c r="B8" s="31"/>
      <c r="C8" s="31"/>
      <c r="D8" s="31"/>
      <c r="E8" s="31"/>
      <c r="F8" s="31"/>
      <c r="G8" s="31"/>
    </row>
    <row r="9" spans="1:7" x14ac:dyDescent="0.3">
      <c r="A9" s="110" t="s">
        <v>111</v>
      </c>
      <c r="B9" s="112">
        <v>100000</v>
      </c>
      <c r="C9" s="112">
        <v>120000</v>
      </c>
      <c r="D9" s="112">
        <v>140000</v>
      </c>
      <c r="E9" s="112">
        <v>160000</v>
      </c>
      <c r="F9" s="112">
        <v>180000</v>
      </c>
      <c r="G9" s="112">
        <v>200000</v>
      </c>
    </row>
    <row r="10" spans="1:7" x14ac:dyDescent="0.3">
      <c r="A10" s="118" t="s">
        <v>112</v>
      </c>
      <c r="B10" s="31"/>
      <c r="C10" s="31"/>
      <c r="D10" s="31"/>
      <c r="E10" s="31"/>
      <c r="F10" s="31"/>
      <c r="G10" s="31"/>
    </row>
    <row r="11" spans="1:7" x14ac:dyDescent="0.3">
      <c r="A11" s="110" t="s">
        <v>113</v>
      </c>
      <c r="B11" s="112">
        <v>-300000</v>
      </c>
      <c r="C11" s="112">
        <v>-350000</v>
      </c>
      <c r="D11" s="112">
        <v>-400000</v>
      </c>
      <c r="E11" s="112">
        <v>-450000</v>
      </c>
      <c r="F11" s="112">
        <v>-500000</v>
      </c>
      <c r="G11" s="112">
        <v>-600000</v>
      </c>
    </row>
    <row r="12" spans="1:7" x14ac:dyDescent="0.3">
      <c r="A12" s="117" t="s">
        <v>114</v>
      </c>
      <c r="B12" s="31">
        <v>-200000</v>
      </c>
      <c r="C12" s="31">
        <v>-220000</v>
      </c>
      <c r="D12" s="31">
        <v>-240000</v>
      </c>
      <c r="E12" s="31">
        <v>-260000</v>
      </c>
      <c r="F12" s="31">
        <v>-280000</v>
      </c>
      <c r="G12" s="31">
        <v>-300000</v>
      </c>
    </row>
    <row r="13" spans="1:7" x14ac:dyDescent="0.3">
      <c r="A13" s="110" t="s">
        <v>115</v>
      </c>
      <c r="B13" s="112">
        <f>B6+B9+B11+B12</f>
        <v>524923</v>
      </c>
      <c r="C13" s="112">
        <f t="shared" ref="C13:G13" si="0">C6+C9+C11+C12</f>
        <v>860000</v>
      </c>
      <c r="D13" s="112">
        <f t="shared" si="0"/>
        <v>1445000</v>
      </c>
      <c r="E13" s="112">
        <f t="shared" si="0"/>
        <v>2130000</v>
      </c>
      <c r="F13" s="112">
        <f t="shared" si="0"/>
        <v>3065000</v>
      </c>
      <c r="G13" s="112">
        <f t="shared" si="0"/>
        <v>3950000</v>
      </c>
    </row>
    <row r="14" spans="1:7" x14ac:dyDescent="0.3">
      <c r="A14" s="30"/>
      <c r="B14" s="31"/>
      <c r="C14" s="31"/>
      <c r="D14" s="31"/>
      <c r="E14" s="31"/>
      <c r="F14" s="31"/>
      <c r="G14" s="31"/>
    </row>
    <row r="15" spans="1:7" x14ac:dyDescent="0.3">
      <c r="A15" s="110" t="s">
        <v>116</v>
      </c>
      <c r="B15" s="113">
        <f>ROUND(PV($A$16,B21,,-B13),0)</f>
        <v>464123</v>
      </c>
      <c r="C15" s="113">
        <f>ROUND(PV($A$16,C21,,-C13),0)</f>
        <v>672316</v>
      </c>
      <c r="D15" s="113">
        <f>ROUND(PV($A$16,D21,,-D13),0)</f>
        <v>998803</v>
      </c>
      <c r="E15" s="113">
        <f>ROUND(PV($A$16,E21,,-E13),0)</f>
        <v>1301755</v>
      </c>
      <c r="F15" s="113">
        <f>ROUND(PV($A$16,F21,,-F13),0)</f>
        <v>1656218</v>
      </c>
      <c r="G15" s="113">
        <f>ROUND(G13/A19,0)</f>
        <v>37264151</v>
      </c>
    </row>
    <row r="16" spans="1:7" x14ac:dyDescent="0.3">
      <c r="A16" s="138">
        <f>'Discount Rate'!B9</f>
        <v>0.13100000000000001</v>
      </c>
      <c r="B16" s="31"/>
      <c r="C16" s="31"/>
      <c r="D16" s="31"/>
      <c r="E16" s="31"/>
      <c r="F16" s="31"/>
      <c r="G16" s="31"/>
    </row>
    <row r="17" spans="1:7" x14ac:dyDescent="0.3">
      <c r="A17" s="110" t="s">
        <v>117</v>
      </c>
      <c r="B17" s="113">
        <f>SUM(B15:F15)</f>
        <v>5093215</v>
      </c>
      <c r="C17" s="109"/>
      <c r="D17" s="109"/>
      <c r="E17" s="109"/>
      <c r="F17" s="109"/>
      <c r="G17" s="109"/>
    </row>
    <row r="18" spans="1:7" x14ac:dyDescent="0.3">
      <c r="A18" s="30" t="s">
        <v>118</v>
      </c>
      <c r="B18" s="114">
        <f>ROUND(PV(A19,F21,,-G15),-2)</f>
        <v>22517300</v>
      </c>
      <c r="C18" s="31"/>
      <c r="D18" s="31"/>
      <c r="E18" s="31"/>
      <c r="F18" s="31"/>
      <c r="G18" s="31"/>
    </row>
    <row r="19" spans="1:7" x14ac:dyDescent="0.3">
      <c r="A19" s="139">
        <f>'Discount Rate'!B11</f>
        <v>0.10600000000000001</v>
      </c>
      <c r="B19" s="113"/>
      <c r="C19" s="109"/>
      <c r="D19" s="109"/>
      <c r="E19" s="109"/>
      <c r="F19" s="109"/>
      <c r="G19" s="109"/>
    </row>
    <row r="20" spans="1:7" ht="17.399999999999999" x14ac:dyDescent="0.35">
      <c r="A20" s="36" t="s">
        <v>119</v>
      </c>
      <c r="B20" s="115">
        <f>B17+B18</f>
        <v>27610515</v>
      </c>
      <c r="C20" s="116"/>
      <c r="D20" s="116"/>
      <c r="E20" s="116"/>
      <c r="F20" s="116"/>
      <c r="G20" s="116"/>
    </row>
    <row r="21" spans="1:7" x14ac:dyDescent="0.3">
      <c r="A21" s="22"/>
      <c r="B21" s="136">
        <v>1</v>
      </c>
      <c r="C21" s="136">
        <v>2</v>
      </c>
      <c r="D21" s="136">
        <v>3</v>
      </c>
      <c r="E21" s="136">
        <v>4</v>
      </c>
      <c r="F21" s="136">
        <v>5</v>
      </c>
      <c r="G21" s="137"/>
    </row>
    <row r="22" spans="1:7" ht="28.8" x14ac:dyDescent="0.3">
      <c r="A22" s="75" t="s">
        <v>120</v>
      </c>
      <c r="B22" s="44"/>
      <c r="C22" s="22"/>
      <c r="D22" s="22"/>
      <c r="E22" s="22"/>
      <c r="F22" s="22"/>
      <c r="G22" s="22"/>
    </row>
  </sheetData>
  <mergeCells count="4">
    <mergeCell ref="A1:G1"/>
    <mergeCell ref="A2:G2"/>
    <mergeCell ref="A3:G3"/>
    <mergeCell ref="B4:G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534d78a-cb69-4aca-a069-043e1704d47b">
      <Terms xmlns="http://schemas.microsoft.com/office/infopath/2007/PartnerControls"/>
    </lcf76f155ced4ddcb4097134ff3c332f>
    <TaxCatchAll xmlns="40cc8b17-6277-40d3-adb4-53037ef9c179" xsi:nil="true"/>
    <SharedWithUsers xmlns="40cc8b17-6277-40d3-adb4-53037ef9c179">
      <UserInfo>
        <DisplayName>Dolloff, Stephanie</DisplayName>
        <AccountId>457</AccountId>
        <AccountType/>
      </UserInfo>
    </SharedWithUsers>
    <Comments xmlns="c534d78a-cb69-4aca-a069-043e1704d47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5CC0A6DD1FA224496921034181E8D3A" ma:contentTypeVersion="18" ma:contentTypeDescription="Create a new document." ma:contentTypeScope="" ma:versionID="2483cae196e50936da2f2a4613fb3612">
  <xsd:schema xmlns:xsd="http://www.w3.org/2001/XMLSchema" xmlns:xs="http://www.w3.org/2001/XMLSchema" xmlns:p="http://schemas.microsoft.com/office/2006/metadata/properties" xmlns:ns2="c534d78a-cb69-4aca-a069-043e1704d47b" xmlns:ns3="40cc8b17-6277-40d3-adb4-53037ef9c179" targetNamespace="http://schemas.microsoft.com/office/2006/metadata/properties" ma:root="true" ma:fieldsID="6516af8cca310c0e54ff77fe6b8614c0" ns2:_="" ns3:_="">
    <xsd:import namespace="c534d78a-cb69-4aca-a069-043e1704d47b"/>
    <xsd:import namespace="40cc8b17-6277-40d3-adb4-53037ef9c179"/>
    <xsd:element name="properties">
      <xsd:complexType>
        <xsd:sequence>
          <xsd:element name="documentManagement">
            <xsd:complexType>
              <xsd:all>
                <xsd:element ref="ns2:Comments"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34d78a-cb69-4aca-a069-043e1704d47b" elementFormDefault="qualified">
    <xsd:import namespace="http://schemas.microsoft.com/office/2006/documentManagement/types"/>
    <xsd:import namespace="http://schemas.microsoft.com/office/infopath/2007/PartnerControls"/>
    <xsd:element name="Comments" ma:index="8" nillable="true" ma:displayName="Comments" ma:format="Dropdown" ma:internalName="Comments">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4362510-85a9-4d43-b5d4-b144bdfb987a"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cc8b17-6277-40d3-adb4-53037ef9c17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c0ef5a5-6b95-457b-b9b8-f707d55e97b0}" ma:internalName="TaxCatchAll" ma:showField="CatchAllData" ma:web="40cc8b17-6277-40d3-adb4-53037ef9c1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FA507A-5117-4968-A9F1-5A4DE5CD1B24}">
  <ds:schemaRefs>
    <ds:schemaRef ds:uri="http://schemas.microsoft.com/sharepoint/v3/contenttype/forms"/>
  </ds:schemaRefs>
</ds:datastoreItem>
</file>

<file path=customXml/itemProps2.xml><?xml version="1.0" encoding="utf-8"?>
<ds:datastoreItem xmlns:ds="http://schemas.openxmlformats.org/officeDocument/2006/customXml" ds:itemID="{FEBE6246-B4A8-41ED-ADE9-1D156CC23073}">
  <ds:schemaRefs>
    <ds:schemaRef ds:uri="http://schemas.microsoft.com/office/2006/metadata/properties"/>
    <ds:schemaRef ds:uri="http://schemas.microsoft.com/office/infopath/2007/PartnerControls"/>
    <ds:schemaRef ds:uri="c534d78a-cb69-4aca-a069-043e1704d47b"/>
    <ds:schemaRef ds:uri="40cc8b17-6277-40d3-adb4-53037ef9c179"/>
  </ds:schemaRefs>
</ds:datastoreItem>
</file>

<file path=customXml/itemProps3.xml><?xml version="1.0" encoding="utf-8"?>
<ds:datastoreItem xmlns:ds="http://schemas.openxmlformats.org/officeDocument/2006/customXml" ds:itemID="{322666AD-31E3-4AEA-A998-2D10409799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34d78a-cb69-4aca-a069-043e1704d47b"/>
    <ds:schemaRef ds:uri="40cc8b17-6277-40d3-adb4-53037ef9c1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Milestone Balance Sheet</vt:lpstr>
      <vt:lpstr>Milestone Income Statement</vt:lpstr>
      <vt:lpstr>Milestone Ratios</vt:lpstr>
      <vt:lpstr>Corrected Balance Sheet</vt:lpstr>
      <vt:lpstr>Corrected Income Statement</vt:lpstr>
      <vt:lpstr>Corrected Ratios</vt:lpstr>
      <vt:lpstr>Prospective Analysis</vt:lpstr>
      <vt:lpstr>Discount Rate</vt:lpstr>
      <vt:lpstr>DCF</vt:lpstr>
      <vt:lpstr>Valuation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EVELYN SMITH</dc:creator>
  <cp:keywords/>
  <dc:description/>
  <cp:lastModifiedBy>Evelyn Smith</cp:lastModifiedBy>
  <cp:revision/>
  <dcterms:created xsi:type="dcterms:W3CDTF">2014-09-26T19:12:55Z</dcterms:created>
  <dcterms:modified xsi:type="dcterms:W3CDTF">2024-10-19T22:50:32Z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0x010100F5CC0A6DD1FA224496921034181E8D3A</vt:lpwstr>
  </property>
  <property fmtid="{D5CDD505-2E9C-101B-9397-08002B2CF9AE}" pid="3" name="MediaServiceImageTags">
    <vt:lpwstr/>
  </property>
</Properties>
</file>